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d4838e98bcf99fbb9beb0cfcde9a7827cbbb31e1/49008056514/d9dd267f-6777-4b9a-a03a-db358e9248f0/"/>
    </mc:Choice>
  </mc:AlternateContent>
  <xr:revisionPtr revIDLastSave="0" documentId="13_ncr:1_{527D53DB-504F-4E83-8106-D327EBC0F17B}" xr6:coauthVersionLast="36" xr6:coauthVersionMax="36" xr10:uidLastSave="{00000000-0000-0000-0000-000000000000}"/>
  <bookViews>
    <workbookView xWindow="0" yWindow="0" windowWidth="30720" windowHeight="12510" xr2:uid="{00000000-000D-0000-FFFF-FFFF00000000}"/>
  </bookViews>
  <sheets>
    <sheet name="Lisa 1. Justiitsministeerium" sheetId="1" r:id="rId1"/>
  </sheets>
  <externalReferences>
    <externalReference r:id="rId2"/>
  </externalReferences>
  <definedNames>
    <definedName name="_xlnm._FilterDatabase" localSheetId="0" hidden="1">'Lisa 1. Justiitsministeerium'!$A$5:$P$164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N16" i="1"/>
  <c r="N12" i="1" l="1"/>
  <c r="N69" i="1" l="1"/>
  <c r="O69" i="1"/>
  <c r="P60" i="1"/>
  <c r="N140" i="1"/>
  <c r="O140" i="1"/>
  <c r="P72" i="1"/>
  <c r="N42" i="1" l="1"/>
  <c r="O37" i="1"/>
  <c r="O61" i="1"/>
  <c r="N61" i="1"/>
  <c r="N74" i="1"/>
  <c r="N7" i="1"/>
  <c r="N8" i="1"/>
  <c r="O8" i="1"/>
  <c r="F8" i="1"/>
  <c r="G8" i="1"/>
  <c r="L8" i="1"/>
  <c r="N49" i="1"/>
  <c r="N48" i="1" s="1"/>
  <c r="N40" i="1"/>
  <c r="N37" i="1" s="1"/>
  <c r="P145" i="1"/>
  <c r="P146" i="1"/>
  <c r="P138" i="1"/>
  <c r="O135" i="1"/>
  <c r="N135" i="1"/>
  <c r="O131" i="1"/>
  <c r="N131" i="1"/>
  <c r="O119" i="1"/>
  <c r="N119" i="1"/>
  <c r="O123" i="1"/>
  <c r="N123" i="1"/>
  <c r="P121" i="1"/>
  <c r="P126" i="1"/>
  <c r="O114" i="1"/>
  <c r="N114" i="1"/>
  <c r="O93" i="1"/>
  <c r="N93" i="1"/>
  <c r="O97" i="1"/>
  <c r="N97" i="1"/>
  <c r="N101" i="1"/>
  <c r="P109" i="1"/>
  <c r="O106" i="1"/>
  <c r="N106" i="1"/>
  <c r="P104" i="1"/>
  <c r="O101" i="1"/>
  <c r="P99" i="1"/>
  <c r="P95" i="1"/>
  <c r="P87" i="1"/>
  <c r="P88" i="1"/>
  <c r="O84" i="1"/>
  <c r="N84" i="1"/>
  <c r="P82" i="1"/>
  <c r="O80" i="1"/>
  <c r="N80" i="1"/>
  <c r="P73" i="1"/>
  <c r="P63" i="1"/>
  <c r="P45" i="1"/>
  <c r="O42" i="1"/>
  <c r="P39" i="1"/>
  <c r="O34" i="1"/>
  <c r="O48" i="1"/>
  <c r="N34" i="1"/>
  <c r="P29" i="1"/>
  <c r="N22" i="1"/>
  <c r="O26" i="1"/>
  <c r="N26" i="1"/>
  <c r="P24" i="1"/>
  <c r="O22" i="1"/>
  <c r="P20" i="1"/>
  <c r="P57" i="1"/>
  <c r="O17" i="1"/>
  <c r="O18" i="1"/>
  <c r="O19" i="1"/>
  <c r="N19" i="1"/>
  <c r="N18" i="1"/>
  <c r="N17" i="1"/>
  <c r="E18" i="1"/>
  <c r="N60" i="1" l="1"/>
  <c r="O14" i="1"/>
  <c r="O15" i="1"/>
  <c r="O79" i="1"/>
  <c r="N33" i="1"/>
  <c r="H8" i="1"/>
  <c r="O16" i="1"/>
  <c r="N21" i="1"/>
  <c r="O21" i="1"/>
  <c r="O113" i="1"/>
  <c r="N11" i="1"/>
  <c r="O130" i="1"/>
  <c r="N130" i="1"/>
  <c r="N15" i="1"/>
  <c r="N113" i="1"/>
  <c r="O92" i="1"/>
  <c r="N14" i="1"/>
  <c r="N92" i="1"/>
  <c r="O13" i="1"/>
  <c r="N13" i="1"/>
  <c r="N79" i="1"/>
  <c r="O60" i="1"/>
  <c r="O12" i="1"/>
  <c r="O11" i="1"/>
  <c r="O33" i="1"/>
  <c r="O10" i="1"/>
  <c r="N10" i="1"/>
  <c r="O9" i="1" l="1"/>
  <c r="O6" i="1" s="1"/>
  <c r="N9" i="1"/>
  <c r="N6" i="1" s="1"/>
  <c r="J7" i="1" l="1"/>
  <c r="M4" i="1"/>
  <c r="K17" i="1"/>
  <c r="K158" i="1"/>
  <c r="K7" i="1"/>
  <c r="M52" i="1"/>
  <c r="P52" i="1" s="1"/>
  <c r="M53" i="1"/>
  <c r="P53" i="1" s="1"/>
  <c r="M54" i="1"/>
  <c r="P54" i="1" s="1"/>
  <c r="M55" i="1"/>
  <c r="P55" i="1" s="1"/>
  <c r="M56" i="1"/>
  <c r="P56" i="1" s="1"/>
  <c r="J51" i="1"/>
  <c r="J8" i="1" s="1"/>
  <c r="K51" i="1"/>
  <c r="K8" i="1" s="1"/>
  <c r="L51" i="1"/>
  <c r="I51" i="1"/>
  <c r="J42" i="1"/>
  <c r="K42" i="1"/>
  <c r="L42" i="1"/>
  <c r="I42" i="1"/>
  <c r="M51" i="1" l="1"/>
  <c r="P51" i="1" s="1"/>
  <c r="I8" i="1"/>
  <c r="M8" i="1" s="1"/>
  <c r="P8" i="1" s="1"/>
  <c r="K19" i="1"/>
  <c r="J19" i="1"/>
  <c r="L19" i="1"/>
  <c r="I19" i="1"/>
  <c r="H49" i="1" l="1"/>
  <c r="M49" i="1" s="1"/>
  <c r="P49" i="1" s="1"/>
  <c r="M159" i="1"/>
  <c r="P159" i="1" s="1"/>
  <c r="K150" i="1"/>
  <c r="M164" i="1" l="1"/>
  <c r="P164" i="1" s="1"/>
  <c r="J70" i="1" l="1"/>
  <c r="M160" i="1" l="1"/>
  <c r="P160" i="1" s="1"/>
  <c r="M161" i="1"/>
  <c r="P161" i="1" s="1"/>
  <c r="M162" i="1"/>
  <c r="P162" i="1" s="1"/>
  <c r="M163" i="1"/>
  <c r="P163" i="1" s="1"/>
  <c r="G7" i="1" l="1"/>
  <c r="L7" i="1"/>
  <c r="G19" i="1"/>
  <c r="G18" i="1"/>
  <c r="J17" i="1"/>
  <c r="L17" i="1"/>
  <c r="I17" i="1"/>
  <c r="G17" i="1"/>
  <c r="J150" i="1"/>
  <c r="L150" i="1"/>
  <c r="I150" i="1"/>
  <c r="J131" i="1"/>
  <c r="K131" i="1"/>
  <c r="L131" i="1"/>
  <c r="I131" i="1"/>
  <c r="I140" i="1"/>
  <c r="K140" i="1"/>
  <c r="L140" i="1"/>
  <c r="J140" i="1"/>
  <c r="M144" i="1"/>
  <c r="P144" i="1" s="1"/>
  <c r="J135" i="1"/>
  <c r="K135" i="1"/>
  <c r="L135" i="1"/>
  <c r="I135" i="1"/>
  <c r="M137" i="1"/>
  <c r="P137" i="1" s="1"/>
  <c r="J123" i="1"/>
  <c r="K123" i="1"/>
  <c r="L123" i="1"/>
  <c r="I123" i="1"/>
  <c r="J119" i="1"/>
  <c r="K119" i="1"/>
  <c r="L119" i="1"/>
  <c r="I119" i="1"/>
  <c r="J114" i="1"/>
  <c r="K114" i="1"/>
  <c r="L114" i="1"/>
  <c r="I114" i="1"/>
  <c r="J106" i="1"/>
  <c r="K106" i="1"/>
  <c r="L106" i="1"/>
  <c r="I106" i="1"/>
  <c r="J101" i="1"/>
  <c r="K101" i="1"/>
  <c r="L101" i="1"/>
  <c r="I101" i="1"/>
  <c r="J97" i="1"/>
  <c r="K97" i="1"/>
  <c r="L97" i="1"/>
  <c r="I97" i="1"/>
  <c r="J93" i="1"/>
  <c r="K93" i="1"/>
  <c r="L93" i="1"/>
  <c r="I93" i="1"/>
  <c r="J84" i="1"/>
  <c r="K84" i="1"/>
  <c r="L84" i="1"/>
  <c r="I84" i="1"/>
  <c r="J80" i="1"/>
  <c r="K80" i="1"/>
  <c r="L80" i="1"/>
  <c r="I80" i="1"/>
  <c r="M158" i="1"/>
  <c r="P158" i="1" s="1"/>
  <c r="M155" i="1"/>
  <c r="P155" i="1" s="1"/>
  <c r="M67" i="1"/>
  <c r="P67" i="1" s="1"/>
  <c r="M68" i="1"/>
  <c r="P68" i="1" s="1"/>
  <c r="M75" i="1"/>
  <c r="P75" i="1" s="1"/>
  <c r="J61" i="1"/>
  <c r="L69" i="1"/>
  <c r="J69" i="1"/>
  <c r="K69" i="1"/>
  <c r="K16" i="1" l="1"/>
  <c r="K92" i="1"/>
  <c r="L92" i="1"/>
  <c r="L15" i="1"/>
  <c r="J92" i="1"/>
  <c r="I79" i="1"/>
  <c r="K15" i="1"/>
  <c r="J113" i="1"/>
  <c r="J12" i="1"/>
  <c r="J79" i="1"/>
  <c r="I14" i="1"/>
  <c r="J130" i="1"/>
  <c r="I13" i="1"/>
  <c r="L79" i="1"/>
  <c r="L14" i="1"/>
  <c r="I130" i="1"/>
  <c r="K79" i="1"/>
  <c r="K14" i="1"/>
  <c r="L130" i="1"/>
  <c r="L13" i="1"/>
  <c r="J13" i="1"/>
  <c r="J14" i="1"/>
  <c r="I15" i="1"/>
  <c r="I113" i="1"/>
  <c r="K130" i="1"/>
  <c r="J15" i="1"/>
  <c r="K13" i="1"/>
  <c r="L16" i="1"/>
  <c r="I16" i="1"/>
  <c r="L113" i="1"/>
  <c r="J16" i="1"/>
  <c r="K113" i="1"/>
  <c r="I92" i="1"/>
  <c r="J60" i="1"/>
  <c r="I61" i="1" l="1"/>
  <c r="I74" i="1"/>
  <c r="K61" i="1"/>
  <c r="L61" i="1"/>
  <c r="K60" i="1" l="1"/>
  <c r="K12" i="1"/>
  <c r="L60" i="1"/>
  <c r="L12" i="1"/>
  <c r="I69" i="1"/>
  <c r="I12" i="1" s="1"/>
  <c r="I7" i="1"/>
  <c r="J48" i="1"/>
  <c r="J18" i="1" s="1"/>
  <c r="K48" i="1"/>
  <c r="K18" i="1" s="1"/>
  <c r="L48" i="1"/>
  <c r="L18" i="1" s="1"/>
  <c r="I48" i="1"/>
  <c r="I18" i="1" s="1"/>
  <c r="J37" i="1"/>
  <c r="K37" i="1"/>
  <c r="L37" i="1"/>
  <c r="I37" i="1"/>
  <c r="M25" i="1"/>
  <c r="P25" i="1" s="1"/>
  <c r="M30" i="1"/>
  <c r="P30" i="1" s="1"/>
  <c r="M32" i="1"/>
  <c r="P32" i="1" s="1"/>
  <c r="M36" i="1"/>
  <c r="P36" i="1" s="1"/>
  <c r="M41" i="1"/>
  <c r="P41" i="1" s="1"/>
  <c r="M47" i="1"/>
  <c r="P47" i="1" s="1"/>
  <c r="M59" i="1"/>
  <c r="P59" i="1" s="1"/>
  <c r="M76" i="1"/>
  <c r="P76" i="1" s="1"/>
  <c r="M78" i="1"/>
  <c r="P78" i="1" s="1"/>
  <c r="M83" i="1"/>
  <c r="P83" i="1" s="1"/>
  <c r="M89" i="1"/>
  <c r="P89" i="1" s="1"/>
  <c r="M91" i="1"/>
  <c r="P91" i="1" s="1"/>
  <c r="M96" i="1"/>
  <c r="P96" i="1" s="1"/>
  <c r="M100" i="1"/>
  <c r="P100" i="1" s="1"/>
  <c r="M105" i="1"/>
  <c r="P105" i="1" s="1"/>
  <c r="M110" i="1"/>
  <c r="P110" i="1" s="1"/>
  <c r="M112" i="1"/>
  <c r="P112" i="1" s="1"/>
  <c r="M118" i="1"/>
  <c r="P118" i="1" s="1"/>
  <c r="M122" i="1"/>
  <c r="P122" i="1" s="1"/>
  <c r="M127" i="1"/>
  <c r="P127" i="1" s="1"/>
  <c r="M129" i="1"/>
  <c r="P129" i="1" s="1"/>
  <c r="M134" i="1"/>
  <c r="P134" i="1" s="1"/>
  <c r="M139" i="1"/>
  <c r="P139" i="1" s="1"/>
  <c r="M147" i="1"/>
  <c r="P147" i="1" s="1"/>
  <c r="M149" i="1"/>
  <c r="P149" i="1" s="1"/>
  <c r="J26" i="1"/>
  <c r="K26" i="1"/>
  <c r="L26" i="1"/>
  <c r="I26" i="1"/>
  <c r="J22" i="1"/>
  <c r="K22" i="1"/>
  <c r="L22" i="1"/>
  <c r="L10" i="1" s="1"/>
  <c r="I22" i="1"/>
  <c r="I10" i="1" s="1"/>
  <c r="J10" i="1" l="1"/>
  <c r="K33" i="1"/>
  <c r="K11" i="1"/>
  <c r="I33" i="1"/>
  <c r="I11" i="1"/>
  <c r="I9" i="1" s="1"/>
  <c r="I6" i="1" s="1"/>
  <c r="J11" i="1"/>
  <c r="J33" i="1"/>
  <c r="K10" i="1"/>
  <c r="K9" i="1" s="1"/>
  <c r="K6" i="1" s="1"/>
  <c r="I60" i="1"/>
  <c r="I21" i="1"/>
  <c r="L33" i="1"/>
  <c r="L11" i="1"/>
  <c r="L9" i="1" s="1"/>
  <c r="L6" i="1" s="1"/>
  <c r="L21" i="1"/>
  <c r="K21" i="1"/>
  <c r="J21" i="1"/>
  <c r="J9" i="1" l="1"/>
  <c r="J6" i="1" s="1"/>
  <c r="G37" i="1"/>
  <c r="G61" i="1"/>
  <c r="G140" i="1" l="1"/>
  <c r="H143" i="1"/>
  <c r="M143" i="1" s="1"/>
  <c r="P143" i="1" s="1"/>
  <c r="H142" i="1"/>
  <c r="M142" i="1" s="1"/>
  <c r="P142" i="1" s="1"/>
  <c r="F140" i="1"/>
  <c r="E140" i="1"/>
  <c r="F135" i="1"/>
  <c r="G135" i="1"/>
  <c r="F131" i="1"/>
  <c r="G131" i="1"/>
  <c r="F150" i="1"/>
  <c r="G150" i="1"/>
  <c r="F123" i="1"/>
  <c r="G123" i="1"/>
  <c r="F119" i="1"/>
  <c r="G119" i="1"/>
  <c r="F114" i="1"/>
  <c r="G114" i="1"/>
  <c r="F106" i="1"/>
  <c r="G106" i="1"/>
  <c r="F101" i="1"/>
  <c r="G101" i="1"/>
  <c r="F97" i="1"/>
  <c r="G97" i="1"/>
  <c r="F93" i="1"/>
  <c r="G93" i="1"/>
  <c r="F84" i="1"/>
  <c r="G84" i="1"/>
  <c r="G48" i="1"/>
  <c r="F48" i="1"/>
  <c r="F69" i="1"/>
  <c r="F80" i="1"/>
  <c r="G80" i="1"/>
  <c r="H66" i="1"/>
  <c r="M66" i="1" s="1"/>
  <c r="P66" i="1" s="1"/>
  <c r="F65" i="1"/>
  <c r="F61" i="1" s="1"/>
  <c r="G69" i="1"/>
  <c r="H64" i="1"/>
  <c r="M64" i="1" s="1"/>
  <c r="P64" i="1" s="1"/>
  <c r="H70" i="1"/>
  <c r="M70" i="1" s="1"/>
  <c r="P70" i="1" s="1"/>
  <c r="H71" i="1"/>
  <c r="M71" i="1" s="1"/>
  <c r="P71" i="1" s="1"/>
  <c r="H74" i="1"/>
  <c r="M74" i="1" s="1"/>
  <c r="P74" i="1" s="1"/>
  <c r="H77" i="1"/>
  <c r="M77" i="1" s="1"/>
  <c r="P77" i="1" s="1"/>
  <c r="H85" i="1"/>
  <c r="M85" i="1" s="1"/>
  <c r="P85" i="1" s="1"/>
  <c r="H86" i="1"/>
  <c r="M86" i="1" s="1"/>
  <c r="P86" i="1" s="1"/>
  <c r="H90" i="1"/>
  <c r="M90" i="1" s="1"/>
  <c r="P90" i="1" s="1"/>
  <c r="H94" i="1"/>
  <c r="M94" i="1" s="1"/>
  <c r="P94" i="1" s="1"/>
  <c r="H102" i="1"/>
  <c r="M102" i="1" s="1"/>
  <c r="P102" i="1" s="1"/>
  <c r="H103" i="1"/>
  <c r="M103" i="1" s="1"/>
  <c r="P103" i="1" s="1"/>
  <c r="H107" i="1"/>
  <c r="M107" i="1" s="1"/>
  <c r="P107" i="1" s="1"/>
  <c r="H108" i="1"/>
  <c r="M108" i="1" s="1"/>
  <c r="P108" i="1" s="1"/>
  <c r="H111" i="1"/>
  <c r="M111" i="1" s="1"/>
  <c r="P111" i="1" s="1"/>
  <c r="H115" i="1"/>
  <c r="M115" i="1" s="1"/>
  <c r="P115" i="1" s="1"/>
  <c r="H116" i="1"/>
  <c r="M116" i="1" s="1"/>
  <c r="P116" i="1" s="1"/>
  <c r="H117" i="1"/>
  <c r="M117" i="1" s="1"/>
  <c r="P117" i="1" s="1"/>
  <c r="H124" i="1"/>
  <c r="M124" i="1" s="1"/>
  <c r="P124" i="1" s="1"/>
  <c r="H125" i="1"/>
  <c r="M125" i="1" s="1"/>
  <c r="P125" i="1" s="1"/>
  <c r="H128" i="1"/>
  <c r="M128" i="1" s="1"/>
  <c r="P128" i="1" s="1"/>
  <c r="H133" i="1"/>
  <c r="M133" i="1" s="1"/>
  <c r="P133" i="1" s="1"/>
  <c r="H141" i="1"/>
  <c r="M141" i="1" s="1"/>
  <c r="P141" i="1" s="1"/>
  <c r="H148" i="1"/>
  <c r="M148" i="1" s="1"/>
  <c r="P148" i="1" s="1"/>
  <c r="H151" i="1"/>
  <c r="M151" i="1" s="1"/>
  <c r="P151" i="1" s="1"/>
  <c r="H152" i="1"/>
  <c r="M152" i="1" s="1"/>
  <c r="P152" i="1" s="1"/>
  <c r="H153" i="1"/>
  <c r="M153" i="1" s="1"/>
  <c r="P153" i="1" s="1"/>
  <c r="H154" i="1"/>
  <c r="M154" i="1" s="1"/>
  <c r="P154" i="1" s="1"/>
  <c r="H156" i="1"/>
  <c r="M156" i="1" s="1"/>
  <c r="P156" i="1" s="1"/>
  <c r="H157" i="1"/>
  <c r="M157" i="1" s="1"/>
  <c r="P157" i="1" s="1"/>
  <c r="F42" i="1"/>
  <c r="G42" i="1"/>
  <c r="F37" i="1"/>
  <c r="F34" i="1"/>
  <c r="G34" i="1"/>
  <c r="H27" i="1"/>
  <c r="M27" i="1" s="1"/>
  <c r="P27" i="1" s="1"/>
  <c r="H28" i="1"/>
  <c r="M28" i="1" s="1"/>
  <c r="P28" i="1" s="1"/>
  <c r="H31" i="1"/>
  <c r="M31" i="1" s="1"/>
  <c r="P31" i="1" s="1"/>
  <c r="H35" i="1"/>
  <c r="M35" i="1" s="1"/>
  <c r="P35" i="1" s="1"/>
  <c r="H40" i="1"/>
  <c r="M40" i="1" s="1"/>
  <c r="P40" i="1" s="1"/>
  <c r="H43" i="1"/>
  <c r="M43" i="1" s="1"/>
  <c r="P43" i="1" s="1"/>
  <c r="H44" i="1"/>
  <c r="M44" i="1" s="1"/>
  <c r="P44" i="1" s="1"/>
  <c r="H46" i="1"/>
  <c r="M46" i="1" s="1"/>
  <c r="P46" i="1" s="1"/>
  <c r="H50" i="1"/>
  <c r="M50" i="1" s="1"/>
  <c r="P50" i="1" s="1"/>
  <c r="H58" i="1"/>
  <c r="M58" i="1" s="1"/>
  <c r="P58" i="1" s="1"/>
  <c r="F26" i="1"/>
  <c r="G26" i="1"/>
  <c r="H65" i="1" l="1"/>
  <c r="M65" i="1" s="1"/>
  <c r="P65" i="1" s="1"/>
  <c r="G130" i="1"/>
  <c r="G113" i="1"/>
  <c r="G79" i="1"/>
  <c r="F7" i="1"/>
  <c r="H7" i="1" s="1"/>
  <c r="M7" i="1" s="1"/>
  <c r="P7" i="1" s="1"/>
  <c r="G33" i="1"/>
  <c r="F11" i="1"/>
  <c r="G60" i="1"/>
  <c r="F60" i="1"/>
  <c r="H140" i="1"/>
  <c r="M140" i="1" s="1"/>
  <c r="P140" i="1" s="1"/>
  <c r="F130" i="1"/>
  <c r="F113" i="1"/>
  <c r="G92" i="1"/>
  <c r="F92" i="1"/>
  <c r="F79" i="1"/>
  <c r="F33" i="1"/>
  <c r="F22" i="1"/>
  <c r="F10" i="1" s="1"/>
  <c r="G22" i="1"/>
  <c r="G10" i="1" s="1"/>
  <c r="F19" i="1"/>
  <c r="E19" i="1"/>
  <c r="F18" i="1"/>
  <c r="H18" i="1" s="1"/>
  <c r="M18" i="1" s="1"/>
  <c r="P18" i="1" s="1"/>
  <c r="F17" i="1"/>
  <c r="E17" i="1"/>
  <c r="F16" i="1"/>
  <c r="G16" i="1"/>
  <c r="F15" i="1"/>
  <c r="G15" i="1"/>
  <c r="F14" i="1"/>
  <c r="G14" i="1"/>
  <c r="F13" i="1"/>
  <c r="G13" i="1"/>
  <c r="F12" i="1"/>
  <c r="G12" i="1"/>
  <c r="G11" i="1"/>
  <c r="H19" i="1" l="1"/>
  <c r="M19" i="1" s="1"/>
  <c r="P19" i="1" s="1"/>
  <c r="G9" i="1"/>
  <c r="G6" i="1" s="1"/>
  <c r="F9" i="1"/>
  <c r="F6" i="1" s="1"/>
  <c r="H17" i="1"/>
  <c r="M17" i="1" s="1"/>
  <c r="P17" i="1" s="1"/>
  <c r="F21" i="1"/>
  <c r="G21" i="1"/>
  <c r="E136" i="1"/>
  <c r="H136" i="1" s="1"/>
  <c r="M136" i="1" s="1"/>
  <c r="P136" i="1" s="1"/>
  <c r="E120" i="1"/>
  <c r="E98" i="1"/>
  <c r="E81" i="1"/>
  <c r="E62" i="1"/>
  <c r="E38" i="1"/>
  <c r="E37" i="1" s="1"/>
  <c r="E23" i="1"/>
  <c r="E132" i="1"/>
  <c r="H132" i="1" s="1"/>
  <c r="M132" i="1" s="1"/>
  <c r="P132" i="1" s="1"/>
  <c r="E34" i="1"/>
  <c r="E80" i="1" l="1"/>
  <c r="H81" i="1"/>
  <c r="M81" i="1" s="1"/>
  <c r="P81" i="1" s="1"/>
  <c r="E97" i="1"/>
  <c r="H97" i="1" s="1"/>
  <c r="M97" i="1" s="1"/>
  <c r="P97" i="1" s="1"/>
  <c r="H98" i="1"/>
  <c r="M98" i="1" s="1"/>
  <c r="P98" i="1" s="1"/>
  <c r="E119" i="1"/>
  <c r="H119" i="1" s="1"/>
  <c r="M119" i="1" s="1"/>
  <c r="P119" i="1" s="1"/>
  <c r="H120" i="1"/>
  <c r="M120" i="1" s="1"/>
  <c r="P120" i="1" s="1"/>
  <c r="H34" i="1"/>
  <c r="M34" i="1" s="1"/>
  <c r="P34" i="1" s="1"/>
  <c r="E135" i="1"/>
  <c r="H135" i="1" s="1"/>
  <c r="M135" i="1" s="1"/>
  <c r="P135" i="1" s="1"/>
  <c r="H37" i="1"/>
  <c r="M37" i="1" s="1"/>
  <c r="P37" i="1" s="1"/>
  <c r="H38" i="1"/>
  <c r="M38" i="1" s="1"/>
  <c r="P38" i="1" s="1"/>
  <c r="E22" i="1"/>
  <c r="H23" i="1"/>
  <c r="M23" i="1" s="1"/>
  <c r="P23" i="1" s="1"/>
  <c r="E61" i="1"/>
  <c r="H62" i="1"/>
  <c r="M62" i="1" s="1"/>
  <c r="P62" i="1" s="1"/>
  <c r="E42" i="1"/>
  <c r="H42" i="1" s="1"/>
  <c r="M42" i="1" s="1"/>
  <c r="P42" i="1" s="1"/>
  <c r="E48" i="1"/>
  <c r="H48" i="1" s="1"/>
  <c r="M48" i="1" s="1"/>
  <c r="P48" i="1" s="1"/>
  <c r="E69" i="1"/>
  <c r="H69" i="1" s="1"/>
  <c r="M69" i="1" s="1"/>
  <c r="P69" i="1" s="1"/>
  <c r="E150" i="1"/>
  <c r="H150" i="1" s="1"/>
  <c r="M150" i="1" s="1"/>
  <c r="P150" i="1" s="1"/>
  <c r="H22" i="1" l="1"/>
  <c r="M22" i="1" s="1"/>
  <c r="P22" i="1" s="1"/>
  <c r="E33" i="1"/>
  <c r="E11" i="1"/>
  <c r="H11" i="1" s="1"/>
  <c r="M11" i="1" s="1"/>
  <c r="P11" i="1" s="1"/>
  <c r="H61" i="1"/>
  <c r="M61" i="1" s="1"/>
  <c r="P61" i="1" s="1"/>
  <c r="E12" i="1"/>
  <c r="H80" i="1"/>
  <c r="M80" i="1" s="1"/>
  <c r="P80" i="1" s="1"/>
  <c r="E60" i="1"/>
  <c r="H60" i="1" s="1"/>
  <c r="M60" i="1" s="1"/>
  <c r="H12" i="1" l="1"/>
  <c r="M12" i="1" s="1"/>
  <c r="P12" i="1" s="1"/>
  <c r="E131" i="1"/>
  <c r="E123" i="1"/>
  <c r="H123" i="1" s="1"/>
  <c r="M123" i="1" s="1"/>
  <c r="P123" i="1" s="1"/>
  <c r="E114" i="1"/>
  <c r="E106" i="1"/>
  <c r="H106" i="1" s="1"/>
  <c r="M106" i="1" s="1"/>
  <c r="P106" i="1" s="1"/>
  <c r="E101" i="1"/>
  <c r="H101" i="1" s="1"/>
  <c r="M101" i="1" s="1"/>
  <c r="P101" i="1" s="1"/>
  <c r="E93" i="1"/>
  <c r="E84" i="1"/>
  <c r="E26" i="1"/>
  <c r="H26" i="1" l="1"/>
  <c r="M26" i="1" s="1"/>
  <c r="P26" i="1" s="1"/>
  <c r="E10" i="1"/>
  <c r="H84" i="1"/>
  <c r="M84" i="1" s="1"/>
  <c r="P84" i="1" s="1"/>
  <c r="E13" i="1"/>
  <c r="H13" i="1" s="1"/>
  <c r="M13" i="1" s="1"/>
  <c r="P13" i="1" s="1"/>
  <c r="H93" i="1"/>
  <c r="M93" i="1" s="1"/>
  <c r="P93" i="1" s="1"/>
  <c r="E14" i="1"/>
  <c r="H14" i="1" s="1"/>
  <c r="M14" i="1" s="1"/>
  <c r="P14" i="1" s="1"/>
  <c r="H114" i="1"/>
  <c r="M114" i="1" s="1"/>
  <c r="P114" i="1" s="1"/>
  <c r="E15" i="1"/>
  <c r="H15" i="1" s="1"/>
  <c r="M15" i="1" s="1"/>
  <c r="P15" i="1" s="1"/>
  <c r="H131" i="1"/>
  <c r="M131" i="1" s="1"/>
  <c r="P131" i="1" s="1"/>
  <c r="E16" i="1"/>
  <c r="H16" i="1" s="1"/>
  <c r="M16" i="1" s="1"/>
  <c r="P16" i="1" s="1"/>
  <c r="E21" i="1"/>
  <c r="H21" i="1" s="1"/>
  <c r="M21" i="1" s="1"/>
  <c r="P21" i="1" s="1"/>
  <c r="H33" i="1"/>
  <c r="M33" i="1" s="1"/>
  <c r="P33" i="1" s="1"/>
  <c r="E130" i="1"/>
  <c r="H130" i="1" s="1"/>
  <c r="M130" i="1" s="1"/>
  <c r="P130" i="1" s="1"/>
  <c r="E79" i="1"/>
  <c r="H79" i="1" s="1"/>
  <c r="M79" i="1" s="1"/>
  <c r="P79" i="1" s="1"/>
  <c r="E92" i="1"/>
  <c r="H92" i="1" s="1"/>
  <c r="M92" i="1" s="1"/>
  <c r="P92" i="1" s="1"/>
  <c r="E113" i="1"/>
  <c r="H113" i="1" s="1"/>
  <c r="M113" i="1" s="1"/>
  <c r="P113" i="1" s="1"/>
  <c r="E9" i="1" l="1"/>
  <c r="E6" i="1" s="1"/>
  <c r="H10" i="1"/>
  <c r="M10" i="1" s="1"/>
  <c r="P10" i="1" s="1"/>
  <c r="H9" i="1" l="1"/>
  <c r="M9" i="1" s="1"/>
  <c r="P9" i="1" s="1"/>
  <c r="H6" i="1" l="1"/>
  <c r="M6" i="1" s="1"/>
</calcChain>
</file>

<file path=xl/sharedStrings.xml><?xml version="1.0" encoding="utf-8"?>
<sst xmlns="http://schemas.openxmlformats.org/spreadsheetml/2006/main" count="197" uniqueCount="90">
  <si>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</si>
  <si>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</si>
  <si>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</si>
  <si>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</si>
  <si>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</si>
  <si>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</si>
  <si>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</si>
  <si>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SE000003</t>
  </si>
  <si>
    <t>Majandamiskulud</t>
  </si>
  <si>
    <t>RKAS</t>
  </si>
  <si>
    <t>SE000028</t>
  </si>
  <si>
    <t>Käibemaks</t>
  </si>
  <si>
    <t>Amortisatsioon</t>
  </si>
  <si>
    <t>Tegevuskulud, v.a tööjõukulud</t>
  </si>
  <si>
    <t>KULUD</t>
  </si>
  <si>
    <t>Justiitsministeerium</t>
  </si>
  <si>
    <t>Lisa 1</t>
  </si>
  <si>
    <t>Programmi tegevus: Intellektuaalse omandi valdkonna rakendamine</t>
  </si>
  <si>
    <t>Programmi tegevus: Karistuste täideviimise korraldamine</t>
  </si>
  <si>
    <t>Programmi tegevus: Kohtumenetlus ja kohturegistrite pidamine</t>
  </si>
  <si>
    <t>Programmi tegevus: Kriminaalpoliitika kujundamine ja kuritegevuse ennetamine</t>
  </si>
  <si>
    <t>Programmi tegevus: Õiguspoliitika kujundamine ja õigusloome kvaliteedi tagamine</t>
  </si>
  <si>
    <t>Programmi tegevus: Õigusteenuste ja õigusteabe kättesaadavuse tagamine</t>
  </si>
  <si>
    <t>SE030009</t>
  </si>
  <si>
    <t>Sotsiaaltoetused</t>
  </si>
  <si>
    <t>Sihtotstarbelised toetused</t>
  </si>
  <si>
    <t>Liikmemaksud</t>
  </si>
  <si>
    <t>Välistoetus ning sellest sõltuvad vahendid</t>
  </si>
  <si>
    <t>Antud mittesihtotstarbelised toetused</t>
  </si>
  <si>
    <t>SE000099</t>
  </si>
  <si>
    <t>IN000099</t>
  </si>
  <si>
    <t>sihtotstarbelised toetused</t>
  </si>
  <si>
    <t>õigusabi ja Advokatuuri poolt avalik-õiguslike ülesannete täitmine</t>
  </si>
  <si>
    <t>SE030002</t>
  </si>
  <si>
    <t>Tegevuskulud</t>
  </si>
  <si>
    <t>Käibemaks RKAS</t>
  </si>
  <si>
    <t>SE030003</t>
  </si>
  <si>
    <t>INVESTEERINGUD</t>
  </si>
  <si>
    <t>IN004000</t>
  </si>
  <si>
    <t>Kohtute reserv arvestuslikud tööjõukulud</t>
  </si>
  <si>
    <t>Kohtute reserv kindlaksmääratud tööjõukulud</t>
  </si>
  <si>
    <t>Kohtute reserv majandamiskulud</t>
  </si>
  <si>
    <t>Kohtute reserv majandamiskulude käibemaks</t>
  </si>
  <si>
    <t>Vanglate reserv kindlaksmääratud tööjõukulud</t>
  </si>
  <si>
    <t>Vanglate reserv majandamiskulud</t>
  </si>
  <si>
    <t>Vanglate reserv masinad ja seadmed</t>
  </si>
  <si>
    <t>Vanglate reserv majandamiskulude käibemaks</t>
  </si>
  <si>
    <t>Vanglate reserv investeeringute käibemaks</t>
  </si>
  <si>
    <t xml:space="preserve">Käibemaks </t>
  </si>
  <si>
    <t>sh vanglate reserv</t>
  </si>
  <si>
    <t>sh kohtute reserv</t>
  </si>
  <si>
    <t>Käibemaks välistoetus ning sellest sõltuvad vahendid</t>
  </si>
  <si>
    <t>Justiitsministeeriumi 2022. aasta eelarve</t>
  </si>
  <si>
    <t>Investeeringud</t>
  </si>
  <si>
    <t>sh investeeringute käibemaks</t>
  </si>
  <si>
    <t>ELA USA Inc ja EV kohtuvaidluse kulud</t>
  </si>
  <si>
    <t>VR030306</t>
  </si>
  <si>
    <t>2022. a käskkirja nr</t>
  </si>
  <si>
    <t>Ülekantavad vahendid I</t>
  </si>
  <si>
    <t>Eelarve muudatus I</t>
  </si>
  <si>
    <t>Reservi eraldised</t>
  </si>
  <si>
    <t>Kuni käskkirja jõustumiseni kehtiv 2022. a eelarve</t>
  </si>
  <si>
    <t>Eelarve muudatused</t>
  </si>
  <si>
    <t xml:space="preserve">Ülekantavad vahendid </t>
  </si>
  <si>
    <t>Lisaeelarve</t>
  </si>
  <si>
    <t>2022. a eelarve kokku</t>
  </si>
  <si>
    <t>SE000080</t>
  </si>
  <si>
    <t>KRAPS palgakulu kate</t>
  </si>
  <si>
    <t>VR030462</t>
  </si>
  <si>
    <t>Kohtute reserv kriisikohvrite rahastus</t>
  </si>
  <si>
    <t>Kindlaksmääratud tööjõukulud küberturbevõimekuse tõstmiseks</t>
  </si>
  <si>
    <t>Vanglate toimepidevus, kaitse ja kriisideks valmisolek</t>
  </si>
  <si>
    <t>käibemaks</t>
  </si>
  <si>
    <t>Investeeringud transpordivahenditesse</t>
  </si>
  <si>
    <t>Investeeringud masinatesse ja seadmetesse</t>
  </si>
  <si>
    <t>Puurkaevude rajamine</t>
  </si>
  <si>
    <t>Muud investeeringud</t>
  </si>
  <si>
    <t>IN003080</t>
  </si>
  <si>
    <t>IN004080</t>
  </si>
  <si>
    <t>IN005080</t>
  </si>
  <si>
    <t>IN030009</t>
  </si>
  <si>
    <t>Vanglate reserv vanglate toimepidavus, kaitse ja kriisideks valmisolek käibemaks</t>
  </si>
  <si>
    <t xml:space="preserve">2022. a esialgne eelarve </t>
  </si>
  <si>
    <t>Arvestuslikud tööjõukulud</t>
  </si>
  <si>
    <t>Infoturve</t>
  </si>
  <si>
    <t>SR030070</t>
  </si>
  <si>
    <t>Äriregister</t>
  </si>
  <si>
    <t>SR030102</t>
  </si>
  <si>
    <t>Peterburi Panga kohtuvaidlus</t>
  </si>
  <si>
    <t>VR030193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</si>
</sst>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i/>
      <sz val="9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0"/>
      <name val="Calibri"/>
      <family val="2"/>
      <charset val="186"/>
    </font>
    <font>
      <sz val="11"/>
      <color rgb="FF20202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15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5" fillId="0" borderId="0" xfId="2" applyFont="1" applyBorder="1" applyAlignment="1">
      <alignment horizontal="left" indent="2"/>
    </xf>
    <xf numFmtId="0" fontId="11" fillId="0" borderId="0" xfId="2" applyFont="1" applyBorder="1" applyAlignment="1"/>
    <xf numFmtId="0" fontId="11" fillId="0" borderId="0" xfId="1" applyFont="1" applyBorder="1"/>
    <xf numFmtId="0" fontId="6" fillId="0" borderId="0" xfId="1" applyFont="1" applyFill="1"/>
    <xf numFmtId="0" fontId="12" fillId="0" borderId="0" xfId="1" applyFont="1" applyFill="1" applyBorder="1" applyAlignment="1">
      <alignment horizontal="left" vertical="center" wrapText="1"/>
    </xf>
    <xf numFmtId="3" fontId="12" fillId="0" borderId="0" xfId="1" applyNumberFormat="1" applyFont="1" applyFill="1" applyBorder="1" applyAlignment="1">
      <alignment horizontal="right" vertical="center" wrapText="1"/>
    </xf>
    <xf numFmtId="0" fontId="13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3" fontId="14" fillId="0" borderId="0" xfId="1" applyNumberFormat="1" applyFont="1"/>
    <xf numFmtId="0" fontId="15" fillId="2" borderId="0" xfId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16" fillId="0" borderId="0" xfId="0" applyFont="1"/>
    <xf numFmtId="3" fontId="9" fillId="0" borderId="0" xfId="3" applyNumberFormat="1" applyFont="1" applyBorder="1"/>
    <xf numFmtId="3" fontId="17" fillId="0" borderId="0" xfId="2" applyNumberFormat="1" applyFont="1" applyFill="1" applyBorder="1" applyAlignment="1">
      <alignment horizontal="right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15" fillId="0" borderId="0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6" fillId="0" borderId="0" xfId="2" applyFont="1"/>
    <xf numFmtId="0" fontId="6" fillId="0" borderId="0" xfId="2" applyFont="1" applyAlignment="1">
      <alignment horizontal="center"/>
    </xf>
    <xf numFmtId="3" fontId="15" fillId="0" borderId="0" xfId="2" applyNumberFormat="1" applyFont="1" applyFill="1" applyBorder="1" applyAlignment="1">
      <alignment horizontal="center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6" fillId="0" borderId="0" xfId="2" applyNumberFormat="1" applyFont="1"/>
    <xf numFmtId="3" fontId="15" fillId="0" borderId="0" xfId="2" applyNumberFormat="1" applyFont="1" applyFill="1" applyBorder="1" applyAlignment="1">
      <alignment horizontal="right" vertical="center" wrapText="1"/>
    </xf>
    <xf numFmtId="3" fontId="7" fillId="0" borderId="0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center" vertical="center" wrapText="1"/>
    </xf>
    <xf numFmtId="0" fontId="19" fillId="0" borderId="0" xfId="2" applyFont="1" applyBorder="1" applyAlignment="1">
      <alignment horizontal="center"/>
    </xf>
    <xf numFmtId="0" fontId="19" fillId="0" borderId="0" xfId="2" applyFont="1" applyFill="1" applyBorder="1" applyAlignment="1">
      <alignment horizontal="center"/>
    </xf>
    <xf numFmtId="0" fontId="4" fillId="0" borderId="0" xfId="2" applyFont="1"/>
    <xf numFmtId="0" fontId="5" fillId="0" borderId="0" xfId="2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4" fillId="0" borderId="0" xfId="2" applyFont="1" applyBorder="1" applyAlignment="1">
      <alignment horizontal="left" indent="2"/>
    </xf>
    <xf numFmtId="0" fontId="4" fillId="0" borderId="0" xfId="2" applyFont="1" applyBorder="1" applyAlignment="1"/>
    <xf numFmtId="0" fontId="20" fillId="0" borderId="0" xfId="2" applyFont="1" applyFill="1" applyBorder="1" applyAlignment="1">
      <alignment horizontal="center" vertical="center" wrapText="1"/>
    </xf>
    <xf numFmtId="3" fontId="20" fillId="0" borderId="0" xfId="2" applyNumberFormat="1" applyFont="1" applyFill="1" applyBorder="1" applyAlignment="1">
      <alignment horizontal="center" vertical="center" wrapText="1"/>
    </xf>
    <xf numFmtId="3" fontId="20" fillId="0" borderId="0" xfId="2" applyNumberFormat="1" applyFont="1" applyFill="1"/>
    <xf numFmtId="0" fontId="21" fillId="0" borderId="0" xfId="0" applyFont="1"/>
    <xf numFmtId="3" fontId="22" fillId="0" borderId="0" xfId="2" applyNumberFormat="1" applyFont="1" applyFill="1" applyBorder="1" applyAlignment="1">
      <alignment horizontal="right" vertical="center" wrapText="1"/>
    </xf>
    <xf numFmtId="3" fontId="23" fillId="0" borderId="0" xfId="0" applyNumberFormat="1" applyFont="1"/>
    <xf numFmtId="0" fontId="15" fillId="0" borderId="0" xfId="1" applyFont="1"/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15" fillId="0" borderId="0" xfId="1" applyFont="1" applyBorder="1" applyAlignment="1">
      <alignment horizontal="left" indent="1"/>
    </xf>
    <xf numFmtId="0" fontId="15" fillId="0" borderId="0" xfId="2" applyFont="1" applyBorder="1" applyAlignment="1">
      <alignment horizontal="left" indent="1"/>
    </xf>
    <xf numFmtId="0" fontId="15" fillId="0" borderId="0" xfId="2" applyFont="1" applyBorder="1" applyAlignment="1">
      <alignment horizontal="center"/>
    </xf>
    <xf numFmtId="0" fontId="15" fillId="0" borderId="0" xfId="2" applyFont="1" applyFill="1" applyBorder="1" applyAlignment="1">
      <alignment horizontal="center"/>
    </xf>
    <xf numFmtId="0" fontId="24" fillId="0" borderId="0" xfId="1" applyFont="1" applyBorder="1"/>
    <xf numFmtId="0" fontId="15" fillId="0" borderId="0" xfId="2" applyFont="1" applyAlignment="1">
      <alignment horizontal="center"/>
    </xf>
    <xf numFmtId="0" fontId="15" fillId="0" borderId="0" xfId="3" applyFont="1" applyFill="1" applyBorder="1" applyAlignment="1">
      <alignment horizontal="center"/>
    </xf>
    <xf numFmtId="0" fontId="12" fillId="0" borderId="0" xfId="1" applyFont="1" applyFill="1" applyBorder="1" applyAlignment="1">
      <alignment horizontal="left" vertical="center" wrapText="1" indent="2"/>
    </xf>
    <xf numFmtId="3" fontId="18" fillId="0" borderId="0" xfId="1" applyNumberFormat="1" applyFont="1" applyFill="1" applyBorder="1" applyAlignment="1">
      <alignment horizontal="right" vertical="center" wrapText="1"/>
    </xf>
    <xf numFmtId="0" fontId="14" fillId="0" borderId="0" xfId="2" applyFont="1" applyFill="1" applyBorder="1" applyAlignment="1">
      <alignment horizontal="center"/>
    </xf>
    <xf numFmtId="0" fontId="21" fillId="0" borderId="0" xfId="0" applyFont="1" applyAlignment="1">
      <alignment horizontal="left" indent="1"/>
    </xf>
    <xf numFmtId="3" fontId="4" fillId="0" borderId="0" xfId="3" applyNumberFormat="1" applyFont="1" applyBorder="1"/>
    <xf numFmtId="0" fontId="15" fillId="0" borderId="0" xfId="3" applyFont="1" applyFill="1" applyBorder="1" applyAlignment="1">
      <alignment horizontal="left" indent="1"/>
    </xf>
    <xf numFmtId="3" fontId="15" fillId="0" borderId="0" xfId="3" applyNumberFormat="1" applyFont="1" applyFill="1" applyBorder="1"/>
    <xf numFmtId="0" fontId="15" fillId="0" borderId="0" xfId="1" applyFont="1" applyFill="1"/>
    <xf numFmtId="3" fontId="15" fillId="0" borderId="0" xfId="1" applyNumberFormat="1" applyFont="1"/>
    <xf numFmtId="0" fontId="6" fillId="0" borderId="0" xfId="2" applyFont="1" applyFill="1" applyAlignment="1">
      <alignment horizontal="center"/>
    </xf>
    <xf numFmtId="0" fontId="11" fillId="0" borderId="0" xfId="2" applyFont="1" applyFill="1" applyBorder="1"/>
    <xf numFmtId="0" fontId="4" fillId="0" borderId="0" xfId="1" applyFont="1" applyFill="1"/>
    <xf numFmtId="0" fontId="4" fillId="0" borderId="0" xfId="2" applyFont="1" applyFill="1" applyBorder="1" applyAlignment="1">
      <alignment horizontal="left" indent="1"/>
    </xf>
    <xf numFmtId="0" fontId="4" fillId="0" borderId="0" xfId="2" applyFont="1" applyFill="1" applyBorder="1"/>
    <xf numFmtId="0" fontId="4" fillId="0" borderId="0" xfId="2" applyFont="1" applyFill="1" applyAlignment="1">
      <alignment horizontal="center"/>
    </xf>
    <xf numFmtId="3" fontId="6" fillId="0" borderId="0" xfId="2" applyNumberFormat="1" applyFont="1" applyFill="1"/>
    <xf numFmtId="0" fontId="11" fillId="0" borderId="0" xfId="1" applyFont="1" applyFill="1" applyBorder="1"/>
    <xf numFmtId="0" fontId="4" fillId="0" borderId="0" xfId="3" applyFont="1" applyBorder="1" applyAlignment="1">
      <alignment horizontal="left" indent="1"/>
    </xf>
    <xf numFmtId="0" fontId="4" fillId="0" borderId="0" xfId="3" applyFont="1" applyBorder="1" applyAlignment="1">
      <alignment horizontal="center"/>
    </xf>
    <xf numFmtId="0" fontId="21" fillId="0" borderId="0" xfId="0" applyFont="1" applyFill="1"/>
    <xf numFmtId="0" fontId="5" fillId="0" borderId="0" xfId="3" applyFont="1" applyFill="1" applyBorder="1" applyAlignment="1">
      <alignment horizontal="left" indent="2"/>
    </xf>
    <xf numFmtId="0" fontId="25" fillId="0" borderId="0" xfId="2" applyFont="1" applyFill="1" applyBorder="1" applyAlignment="1">
      <alignment horizontal="center"/>
    </xf>
    <xf numFmtId="3" fontId="26" fillId="0" borderId="0" xfId="2" applyNumberFormat="1" applyFont="1" applyFill="1" applyBorder="1" applyAlignment="1">
      <alignment horizontal="right" vertical="center" wrapText="1"/>
    </xf>
    <xf numFmtId="0" fontId="25" fillId="0" borderId="0" xfId="1" applyFont="1" applyFill="1"/>
    <xf numFmtId="0" fontId="15" fillId="0" borderId="0" xfId="3" applyFont="1" applyFill="1" applyAlignment="1">
      <alignment horizontal="center"/>
    </xf>
    <xf numFmtId="0" fontId="4" fillId="0" borderId="0" xfId="3" applyFont="1" applyFill="1" applyBorder="1" applyAlignment="1">
      <alignment horizontal="left" indent="1"/>
    </xf>
    <xf numFmtId="0" fontId="15" fillId="0" borderId="0" xfId="1" applyFont="1" applyFill="1" applyBorder="1" applyAlignment="1">
      <alignment horizontal="left" indent="1"/>
    </xf>
    <xf numFmtId="3" fontId="15" fillId="0" borderId="0" xfId="1" applyNumberFormat="1" applyFont="1" applyFill="1" applyBorder="1"/>
    <xf numFmtId="0" fontId="4" fillId="0" borderId="0" xfId="3" applyFont="1" applyFill="1"/>
    <xf numFmtId="0" fontId="7" fillId="0" borderId="0" xfId="1" applyFont="1" applyFill="1"/>
    <xf numFmtId="3" fontId="7" fillId="0" borderId="0" xfId="3" applyNumberFormat="1" applyFont="1" applyFill="1" applyBorder="1"/>
    <xf numFmtId="0" fontId="8" fillId="0" borderId="0" xfId="0" applyFont="1" applyFill="1"/>
    <xf numFmtId="3" fontId="15" fillId="0" borderId="0" xfId="1" applyNumberFormat="1" applyFont="1" applyFill="1"/>
    <xf numFmtId="0" fontId="15" fillId="0" borderId="0" xfId="2" applyFont="1" applyFill="1" applyAlignment="1">
      <alignment horizontal="center"/>
    </xf>
    <xf numFmtId="3" fontId="7" fillId="0" borderId="0" xfId="2" applyNumberFormat="1" applyFont="1" applyFill="1"/>
    <xf numFmtId="0" fontId="15" fillId="0" borderId="0" xfId="3" applyFont="1" applyBorder="1" applyAlignment="1">
      <alignment horizontal="center"/>
    </xf>
    <xf numFmtId="3" fontId="18" fillId="0" borderId="0" xfId="3" applyNumberFormat="1" applyFont="1" applyBorder="1"/>
    <xf numFmtId="0" fontId="4" fillId="0" borderId="0" xfId="1" applyFont="1" applyAlignment="1">
      <alignment horizontal="right"/>
    </xf>
    <xf numFmtId="0" fontId="4" fillId="0" borderId="0" xfId="2" applyNumberFormat="1" applyFont="1" applyBorder="1" applyAlignment="1">
      <alignment horizontal="center"/>
    </xf>
    <xf numFmtId="3" fontId="27" fillId="0" borderId="0" xfId="0" applyNumberFormat="1" applyFont="1"/>
    <xf numFmtId="3" fontId="6" fillId="0" borderId="0" xfId="1" applyNumberFormat="1" applyFont="1" applyFill="1"/>
    <xf numFmtId="3" fontId="0" fillId="0" borderId="0" xfId="0" applyNumberFormat="1"/>
    <xf numFmtId="0" fontId="28" fillId="0" borderId="0" xfId="0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4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M2" sqref="M2"/>
    </sheetView>
  </sheetViews>
  <sheetFormatPr defaultColWidth="9.42578125" defaultRowHeight="12.75" x14ac:dyDescent="0.2"/>
  <cols>
    <col min="1" max="1" width="57.42578125" style="1" customWidth="1"/>
    <col min="2" max="2" width="7.28515625" style="2" customWidth="1"/>
    <col min="3" max="3" width="8.5703125" style="2" customWidth="1"/>
    <col min="4" max="4" width="9.28515625" style="1" customWidth="1"/>
    <col min="5" max="5" width="15.7109375" style="1" customWidth="1"/>
    <col min="6" max="6" width="17.28515625" style="1" hidden="1" customWidth="1"/>
    <col min="7" max="7" width="17.7109375" style="1" hidden="1" customWidth="1"/>
    <col min="8" max="12" width="17" style="1" hidden="1" customWidth="1"/>
    <col min="13" max="13" width="19.42578125" style="1" customWidth="1"/>
    <col min="14" max="14" width="21.28515625" style="1" customWidth="1"/>
    <col min="15" max="15" width="19.5703125" style="1" customWidth="1"/>
    <col min="16" max="16" width="21" style="1" customWidth="1"/>
    <col min="17" max="16384" width="9.42578125" style="1"/>
  </cols>
  <sheetData>
    <row r="1" spans="1:20" x14ac:dyDescent="0.2">
      <c r="A1" s="3"/>
      <c r="I1" s="26"/>
      <c r="J1" s="26"/>
      <c r="K1" s="26"/>
      <c r="L1" s="26"/>
      <c r="P1" s="109" t="s">
        <v>57</v>
      </c>
    </row>
    <row r="2" spans="1:20" x14ac:dyDescent="0.2">
      <c r="A2" s="25"/>
      <c r="G2" s="3"/>
      <c r="I2" s="27"/>
      <c r="J2" s="27"/>
      <c r="K2" s="27"/>
      <c r="L2" s="27"/>
      <c r="P2" s="109" t="s">
        <v>16</v>
      </c>
    </row>
    <row r="3" spans="1:20" ht="15.75" x14ac:dyDescent="0.25">
      <c r="A3" s="29" t="s">
        <v>52</v>
      </c>
      <c r="E3" s="5"/>
      <c r="G3" s="3"/>
      <c r="H3" s="3"/>
      <c r="I3" s="3"/>
      <c r="J3" s="3"/>
      <c r="K3" s="3"/>
      <c r="L3" s="3"/>
      <c r="M3" s="3"/>
      <c r="P3" s="3"/>
    </row>
    <row r="4" spans="1:20" x14ac:dyDescent="0.2">
      <c r="A4" s="4"/>
      <c r="E4" s="3"/>
      <c r="F4" s="6"/>
      <c r="H4" s="3"/>
      <c r="I4" s="3"/>
      <c r="J4" s="3"/>
      <c r="K4" s="3"/>
      <c r="L4" s="3"/>
      <c r="M4" s="3">
        <f>H4+I4+J4+K4</f>
        <v>0</v>
      </c>
      <c r="P4" s="3"/>
    </row>
    <row r="5" spans="1:20" s="4" customFormat="1" ht="38.25" x14ac:dyDescent="0.2">
      <c r="A5" s="30"/>
      <c r="B5" s="30" t="s">
        <v>0</v>
      </c>
      <c r="C5" s="30" t="s">
        <v>2</v>
      </c>
      <c r="D5" s="30" t="s">
        <v>1</v>
      </c>
      <c r="E5" s="30" t="s">
        <v>82</v>
      </c>
      <c r="F5" s="30" t="s">
        <v>59</v>
      </c>
      <c r="G5" s="30" t="s">
        <v>58</v>
      </c>
      <c r="H5" s="30" t="s">
        <v>61</v>
      </c>
      <c r="I5" s="30" t="s">
        <v>62</v>
      </c>
      <c r="J5" s="30" t="s">
        <v>63</v>
      </c>
      <c r="K5" s="30" t="s">
        <v>64</v>
      </c>
      <c r="L5" s="30" t="s">
        <v>60</v>
      </c>
      <c r="M5" s="30" t="s">
        <v>61</v>
      </c>
      <c r="N5" s="30" t="s">
        <v>62</v>
      </c>
      <c r="O5" s="30" t="s">
        <v>60</v>
      </c>
      <c r="P5" s="30" t="s">
        <v>65</v>
      </c>
    </row>
    <row r="6" spans="1:20" s="22" customFormat="1" ht="17.25" x14ac:dyDescent="0.2">
      <c r="A6" s="23" t="s">
        <v>15</v>
      </c>
      <c r="B6" s="7"/>
      <c r="C6" s="7"/>
      <c r="D6" s="7"/>
      <c r="E6" s="24">
        <f>E9+E17+E18</f>
        <v>31749028.523065686</v>
      </c>
      <c r="F6" s="24">
        <f>F9+F17+F18</f>
        <v>-453757.00000000023</v>
      </c>
      <c r="G6" s="24">
        <f>G9+G17+G18</f>
        <v>3105540.0000000037</v>
      </c>
      <c r="H6" s="24">
        <f>E6+F6+G6</f>
        <v>34400811.523065686</v>
      </c>
      <c r="I6" s="24">
        <f>I9+I17+I18</f>
        <v>-5092245.0000099987</v>
      </c>
      <c r="J6" s="24">
        <f>J9+J17+J18</f>
        <v>1321358</v>
      </c>
      <c r="K6" s="24">
        <f>K9+K17+K18</f>
        <v>5719790</v>
      </c>
      <c r="L6" s="24">
        <f t="shared" ref="L6" si="0">L9+L17+L18</f>
        <v>0</v>
      </c>
      <c r="M6" s="24">
        <f>H6+I6+J6+K6+L6</f>
        <v>36349714.523055688</v>
      </c>
      <c r="N6" s="24">
        <f t="shared" ref="N6:O6" si="1">N9+N17+N18</f>
        <v>-4059048.0000700019</v>
      </c>
      <c r="O6" s="24">
        <f t="shared" si="1"/>
        <v>7581517.0000000028</v>
      </c>
      <c r="P6" s="24">
        <f>M6+N6+O6</f>
        <v>39872183.522985689</v>
      </c>
      <c r="S6" s="112"/>
    </row>
    <row r="7" spans="1:20" s="22" customFormat="1" ht="17.25" x14ac:dyDescent="0.25">
      <c r="A7" s="72" t="s">
        <v>50</v>
      </c>
      <c r="B7" s="7"/>
      <c r="C7" s="7"/>
      <c r="D7" s="7"/>
      <c r="E7" s="73">
        <v>1417738</v>
      </c>
      <c r="F7" s="73">
        <f>F64+F65+F66+F74</f>
        <v>-225471</v>
      </c>
      <c r="G7" s="73">
        <f>G64+G65+G66+G74+G67+G75</f>
        <v>0</v>
      </c>
      <c r="H7" s="73">
        <f>E7+F7+G7</f>
        <v>1192267</v>
      </c>
      <c r="I7" s="73">
        <f>I64+I65+I66+I74+I67+I75</f>
        <v>-672100</v>
      </c>
      <c r="J7" s="73">
        <f>J64+J65+J66+J74+J67+J75</f>
        <v>22037</v>
      </c>
      <c r="K7" s="73">
        <f>K64+K65+K66+K74+K67+K75+K155</f>
        <v>133000</v>
      </c>
      <c r="L7" s="73">
        <f t="shared" ref="L7" si="2">L64+L65+L66+L74+L67+L75</f>
        <v>0</v>
      </c>
      <c r="M7" s="73">
        <f>H7+I7+J7+K7+L7</f>
        <v>675204</v>
      </c>
      <c r="N7" s="73">
        <f>N64+N65+N66+N67+N74+N154+N155</f>
        <v>-82702</v>
      </c>
      <c r="O7" s="73"/>
      <c r="P7" s="73">
        <f t="shared" ref="P7" si="3">M7+N7+O7</f>
        <v>592502</v>
      </c>
      <c r="T7" s="113"/>
    </row>
    <row r="8" spans="1:20" s="22" customFormat="1" ht="17.25" x14ac:dyDescent="0.25">
      <c r="A8" s="72" t="s">
        <v>49</v>
      </c>
      <c r="B8" s="7"/>
      <c r="C8" s="7"/>
      <c r="D8" s="7"/>
      <c r="E8" s="73">
        <v>2301939</v>
      </c>
      <c r="F8" s="73">
        <f>F40+F46+F49</f>
        <v>-263247</v>
      </c>
      <c r="G8" s="73">
        <f>G40+G46+G49</f>
        <v>0</v>
      </c>
      <c r="H8" s="73">
        <f t="shared" ref="H8" si="4">E8+F8+G8</f>
        <v>2038692</v>
      </c>
      <c r="I8" s="73">
        <f>I40+I46+I49+I51</f>
        <v>-3992079</v>
      </c>
      <c r="J8" s="73">
        <f>J40+J46+J49+J51</f>
        <v>961425</v>
      </c>
      <c r="K8" s="73">
        <f>K40+K46+K49+K51+K158</f>
        <v>4734190</v>
      </c>
      <c r="L8" s="73">
        <f t="shared" ref="L8" si="5">L40+L46+L49</f>
        <v>0</v>
      </c>
      <c r="M8" s="73">
        <f t="shared" ref="M8:M19" si="6">H8+I8+J8+K8+L8</f>
        <v>3742228</v>
      </c>
      <c r="N8" s="73">
        <f>N40+N46+N49+N52+N53+N54+N55+N56+N156+N157+N158</f>
        <v>-623635</v>
      </c>
      <c r="O8" s="73">
        <f>O40+O46+O49+O52+O53+O54+O55+O56+O156+O157+O158</f>
        <v>0</v>
      </c>
      <c r="P8" s="73">
        <f>M8+N8+O8</f>
        <v>3118593</v>
      </c>
      <c r="T8" s="113"/>
    </row>
    <row r="9" spans="1:20" s="28" customFormat="1" ht="17.25" x14ac:dyDescent="0.3">
      <c r="A9" s="33" t="s">
        <v>14</v>
      </c>
      <c r="B9" s="10"/>
      <c r="C9" s="12"/>
      <c r="D9" s="11"/>
      <c r="E9" s="34">
        <f>E10+E11+E12+E13+E14+E15+E16</f>
        <v>30337461.523065686</v>
      </c>
      <c r="F9" s="34">
        <f>F10+F11+F12+F13+F14+F15+F16</f>
        <v>-453757.00000000023</v>
      </c>
      <c r="G9" s="34">
        <f>G10+G11+G12+G13+G14+G15+G16</f>
        <v>3105540.0000000037</v>
      </c>
      <c r="H9" s="24">
        <f>E9+F9+G9</f>
        <v>32989244.52306569</v>
      </c>
      <c r="I9" s="108">
        <f>I10+I11+I12+I13+I14+I15+I16</f>
        <v>-3173995.0000099991</v>
      </c>
      <c r="J9" s="108">
        <f>J10+J11+J12+J13+J14+J15+J16</f>
        <v>1318140</v>
      </c>
      <c r="K9" s="108">
        <f>K10+K11+K12+K13+K14+K15+K16</f>
        <v>2866491</v>
      </c>
      <c r="L9" s="34">
        <f t="shared" ref="L9" si="7">L10+L11+L12+L13+L14+L15+L16</f>
        <v>0</v>
      </c>
      <c r="M9" s="24">
        <f t="shared" si="6"/>
        <v>33999880.523055688</v>
      </c>
      <c r="N9" s="34">
        <f>N10+N11+N12+N13+N14+N15+N16</f>
        <v>-4027729.0000700019</v>
      </c>
      <c r="O9" s="34">
        <f>O10+O11+O12+O13+O14+O15+O16</f>
        <v>7581517.0000000028</v>
      </c>
      <c r="P9" s="24">
        <f>M9+N9+O9</f>
        <v>37553668.522985689</v>
      </c>
      <c r="T9" s="114"/>
    </row>
    <row r="10" spans="1:20" s="28" customFormat="1" ht="15.75" x14ac:dyDescent="0.25">
      <c r="A10" s="9" t="s">
        <v>17</v>
      </c>
      <c r="B10" s="10"/>
      <c r="C10" s="12"/>
      <c r="D10" s="11"/>
      <c r="E10" s="34">
        <f>E22+E26+E31</f>
        <v>563641.34558245249</v>
      </c>
      <c r="F10" s="34">
        <f>F22+F26+F31</f>
        <v>-1825.7052987483357</v>
      </c>
      <c r="G10" s="34">
        <f>G22+G26+G31</f>
        <v>99986.398038858795</v>
      </c>
      <c r="H10" s="34">
        <f t="shared" ref="H10:H17" si="8">E10+F10+G10</f>
        <v>661802.03832256293</v>
      </c>
      <c r="I10" s="108">
        <f>I22+I26+I31</f>
        <v>-11524.688955603331</v>
      </c>
      <c r="J10" s="108">
        <f>J22+J26+J31</f>
        <v>3988.6796097657216</v>
      </c>
      <c r="K10" s="108">
        <f t="shared" ref="K10:L10" si="9">K22+K26+K31</f>
        <v>0</v>
      </c>
      <c r="L10" s="34">
        <f t="shared" si="9"/>
        <v>0</v>
      </c>
      <c r="M10" s="34">
        <f t="shared" si="6"/>
        <v>654266.02897672541</v>
      </c>
      <c r="N10" s="34">
        <f>N22+N26+N31</f>
        <v>-32652.047913519658</v>
      </c>
      <c r="O10" s="34">
        <f>O22+O26+O31</f>
        <v>54566.539833727518</v>
      </c>
      <c r="P10" s="34">
        <f t="shared" ref="P10:P77" si="10">M10+N10+O10</f>
        <v>676180.52089693327</v>
      </c>
    </row>
    <row r="11" spans="1:20" s="28" customFormat="1" ht="15.75" x14ac:dyDescent="0.25">
      <c r="A11" s="9" t="s">
        <v>18</v>
      </c>
      <c r="B11" s="10"/>
      <c r="C11" s="12"/>
      <c r="D11" s="11"/>
      <c r="E11" s="34">
        <f>E34+E37+E42+E58</f>
        <v>4174048.5710321586</v>
      </c>
      <c r="F11" s="34">
        <f>F34+F37+F42+F58</f>
        <v>-241903.75459884782</v>
      </c>
      <c r="G11" s="34">
        <f>G34+G37+G42+G58</f>
        <v>141274.784226574</v>
      </c>
      <c r="H11" s="34">
        <f>E11+F11+G11</f>
        <v>4073419.6006598845</v>
      </c>
      <c r="I11" s="108">
        <f>I34+I37+I42+I58+I52</f>
        <v>-2153602.7627620948</v>
      </c>
      <c r="J11" s="108">
        <f>J34+J37+J42+J58+J52</f>
        <v>963842.76508676296</v>
      </c>
      <c r="K11" s="108">
        <f>K34+K37+K42+K58+K52</f>
        <v>2045158</v>
      </c>
      <c r="L11" s="34">
        <f>L34+L37+L42+L58</f>
        <v>0</v>
      </c>
      <c r="M11" s="34">
        <f>H11+I11+J11+K11+L11</f>
        <v>4928817.6029845532</v>
      </c>
      <c r="N11" s="34">
        <f>N34+N37+N42+N58</f>
        <v>-608452.01121583814</v>
      </c>
      <c r="O11" s="34">
        <f>O34+O37+O42+O58</f>
        <v>77099.248419816082</v>
      </c>
      <c r="P11" s="34">
        <f t="shared" si="10"/>
        <v>4397464.8401885312</v>
      </c>
    </row>
    <row r="12" spans="1:20" s="4" customFormat="1" ht="15.75" x14ac:dyDescent="0.25">
      <c r="A12" s="9" t="s">
        <v>19</v>
      </c>
      <c r="B12" s="14"/>
      <c r="C12" s="14"/>
      <c r="D12" s="15"/>
      <c r="E12" s="34">
        <f>E61+E69+E77</f>
        <v>3605876.8327119597</v>
      </c>
      <c r="F12" s="34">
        <f>F61+F69+F77</f>
        <v>-229821.41252673086</v>
      </c>
      <c r="G12" s="34">
        <f>G61+G69+G77</f>
        <v>400375.963696033</v>
      </c>
      <c r="H12" s="34">
        <f t="shared" si="8"/>
        <v>3776431.3838812616</v>
      </c>
      <c r="I12" s="108">
        <f>I61+I69+I77</f>
        <v>-721133.25814267807</v>
      </c>
      <c r="J12" s="108">
        <f t="shared" ref="J12:L12" si="11">J61+J69+J77</f>
        <v>268195.88691619853</v>
      </c>
      <c r="K12" s="108">
        <f t="shared" si="11"/>
        <v>110833</v>
      </c>
      <c r="L12" s="34">
        <f t="shared" si="11"/>
        <v>0</v>
      </c>
      <c r="M12" s="34">
        <f t="shared" si="6"/>
        <v>3434327.0126547823</v>
      </c>
      <c r="N12" s="34">
        <f>N61+N69+N77</f>
        <v>-2012087.6078582983</v>
      </c>
      <c r="O12" s="34">
        <f>O61+O69+O77</f>
        <v>6118501.0301400786</v>
      </c>
      <c r="P12" s="34">
        <f t="shared" si="10"/>
        <v>7540740.4349365626</v>
      </c>
    </row>
    <row r="13" spans="1:20" s="4" customFormat="1" ht="15.75" x14ac:dyDescent="0.25">
      <c r="A13" s="9" t="s">
        <v>3</v>
      </c>
      <c r="B13" s="31"/>
      <c r="C13" s="31"/>
      <c r="D13" s="31"/>
      <c r="E13" s="34">
        <f>E80+E84+E90</f>
        <v>989464.72804223956</v>
      </c>
      <c r="F13" s="34">
        <f t="shared" ref="F13:L13" si="12">F80+F84+F90</f>
        <v>-1813.3005648230974</v>
      </c>
      <c r="G13" s="34">
        <f t="shared" si="12"/>
        <v>175141.845458767</v>
      </c>
      <c r="H13" s="34">
        <f t="shared" si="8"/>
        <v>1162793.2729361835</v>
      </c>
      <c r="I13" s="108">
        <f t="shared" si="12"/>
        <v>-36509.917420099249</v>
      </c>
      <c r="J13" s="108">
        <f t="shared" si="12"/>
        <v>6986.7974194512417</v>
      </c>
      <c r="K13" s="108">
        <f t="shared" si="12"/>
        <v>14500</v>
      </c>
      <c r="L13" s="34">
        <f t="shared" si="12"/>
        <v>0</v>
      </c>
      <c r="M13" s="34">
        <f>H13+I13+J13+K13+L13</f>
        <v>1147770.1529355354</v>
      </c>
      <c r="N13" s="34">
        <f>N80+N84+N90</f>
        <v>-56333.982557929645</v>
      </c>
      <c r="O13" s="34">
        <f>O80+O84+O90</f>
        <v>95581.845873317317</v>
      </c>
      <c r="P13" s="34">
        <f t="shared" si="10"/>
        <v>1187018.016250923</v>
      </c>
    </row>
    <row r="14" spans="1:20" s="4" customFormat="1" ht="15.75" x14ac:dyDescent="0.25">
      <c r="A14" s="9" t="s">
        <v>20</v>
      </c>
      <c r="B14" s="32"/>
      <c r="C14" s="32"/>
      <c r="D14" s="32"/>
      <c r="E14" s="34">
        <f>E93+E97+E101+E106+E111</f>
        <v>4660302.8367794706</v>
      </c>
      <c r="F14" s="34">
        <f>F93+F97+F101+F106+F111</f>
        <v>35241.143809858768</v>
      </c>
      <c r="G14" s="34">
        <f>G93+G97+G101+G106+G111</f>
        <v>448060.98363942798</v>
      </c>
      <c r="H14" s="34">
        <f t="shared" si="8"/>
        <v>5143604.9642287577</v>
      </c>
      <c r="I14" s="108">
        <f>I93+I97+I101+I106+I111</f>
        <v>-55164.119130406252</v>
      </c>
      <c r="J14" s="108">
        <f t="shared" ref="J14:L14" si="13">J93+J97+J101+J106+J111</f>
        <v>17874.14832845152</v>
      </c>
      <c r="K14" s="108">
        <f t="shared" si="13"/>
        <v>0</v>
      </c>
      <c r="L14" s="34">
        <f t="shared" si="13"/>
        <v>0</v>
      </c>
      <c r="M14" s="34">
        <f t="shared" si="6"/>
        <v>5106314.9934268026</v>
      </c>
      <c r="N14" s="34">
        <f>N93+N97+N101+N106+N111</f>
        <v>-144658.02729975191</v>
      </c>
      <c r="O14" s="34">
        <f>O93+O97+O101+O106+O111</f>
        <v>244524.63526286889</v>
      </c>
      <c r="P14" s="34">
        <f t="shared" si="10"/>
        <v>5206181.6013899203</v>
      </c>
    </row>
    <row r="15" spans="1:20" s="4" customFormat="1" ht="15.75" x14ac:dyDescent="0.25">
      <c r="A15" s="9" t="s">
        <v>21</v>
      </c>
      <c r="B15" s="32"/>
      <c r="C15" s="32"/>
      <c r="D15" s="32"/>
      <c r="E15" s="34">
        <f>E114+E119+E123+E128</f>
        <v>7914538.0021680202</v>
      </c>
      <c r="F15" s="34">
        <f t="shared" ref="F15:L15" si="14">F114+F119+F123+F128</f>
        <v>-1770.0336376238411</v>
      </c>
      <c r="G15" s="34">
        <f t="shared" si="14"/>
        <v>746491.20452521299</v>
      </c>
      <c r="H15" s="34">
        <f t="shared" si="8"/>
        <v>8659259.1730556097</v>
      </c>
      <c r="I15" s="108">
        <f t="shared" si="14"/>
        <v>-122114.86352821396</v>
      </c>
      <c r="J15" s="108">
        <f t="shared" si="14"/>
        <v>29779.193017854217</v>
      </c>
      <c r="K15" s="108">
        <f t="shared" si="14"/>
        <v>0</v>
      </c>
      <c r="L15" s="34">
        <f t="shared" si="14"/>
        <v>0</v>
      </c>
      <c r="M15" s="34">
        <f t="shared" si="6"/>
        <v>8566923.5025452487</v>
      </c>
      <c r="N15" s="34">
        <f>N114+N119+N123+N128</f>
        <v>-226733.4490855998</v>
      </c>
      <c r="O15" s="34">
        <f>O114+O119+O123+O128</f>
        <v>407389.83347936609</v>
      </c>
      <c r="P15" s="34">
        <f t="shared" si="10"/>
        <v>8747579.8869390152</v>
      </c>
    </row>
    <row r="16" spans="1:20" s="4" customFormat="1" ht="15.75" x14ac:dyDescent="0.25">
      <c r="A16" s="9" t="s">
        <v>22</v>
      </c>
      <c r="B16" s="32"/>
      <c r="C16" s="32"/>
      <c r="D16" s="32"/>
      <c r="E16" s="34">
        <f>E131+E135+E140+E148</f>
        <v>8429589.2067493852</v>
      </c>
      <c r="F16" s="34">
        <f>F131+F135+F140+F148</f>
        <v>-11863.937183085043</v>
      </c>
      <c r="G16" s="34">
        <f>G131+G135+G140+G148</f>
        <v>1094208.8204151299</v>
      </c>
      <c r="H16" s="34">
        <f t="shared" si="8"/>
        <v>9511934.0899814293</v>
      </c>
      <c r="I16" s="108">
        <f>I131+I135+I140+I148</f>
        <v>-73945.390070903988</v>
      </c>
      <c r="J16" s="108">
        <f>J131+J135+J140+J148</f>
        <v>27472.529621516049</v>
      </c>
      <c r="K16" s="108">
        <f>K131+K135+K140+K148</f>
        <v>696000</v>
      </c>
      <c r="L16" s="34">
        <f>L131+L135+L140+L148</f>
        <v>0</v>
      </c>
      <c r="M16" s="34">
        <f t="shared" si="6"/>
        <v>10161461.229532041</v>
      </c>
      <c r="N16" s="34">
        <f>N131+N135+N140+N148</f>
        <v>-946811.87413906446</v>
      </c>
      <c r="O16" s="34">
        <f>O131+O135+O140+O148</f>
        <v>583853.86699082702</v>
      </c>
      <c r="P16" s="34">
        <f t="shared" si="10"/>
        <v>9798503.2223838028</v>
      </c>
    </row>
    <row r="17" spans="1:16" s="4" customFormat="1" ht="15.75" x14ac:dyDescent="0.25">
      <c r="A17" s="9" t="s">
        <v>48</v>
      </c>
      <c r="B17" s="14"/>
      <c r="C17" s="14"/>
      <c r="D17" s="15"/>
      <c r="E17" s="34">
        <f>E151+E152+E153+E154+E156</f>
        <v>1344567</v>
      </c>
      <c r="F17" s="34">
        <f t="shared" ref="F17" si="15">F151+F152+F153+F154+F156</f>
        <v>0</v>
      </c>
      <c r="G17" s="34">
        <f>G151+G152+G153+G154+G156</f>
        <v>0</v>
      </c>
      <c r="H17" s="34">
        <f t="shared" si="8"/>
        <v>1344567</v>
      </c>
      <c r="I17" s="108">
        <f>I151+I152+I153+I154+I156+I157+I158+I155+I164</f>
        <v>0</v>
      </c>
      <c r="J17" s="108">
        <f>J151+J152+J153+J154+J156+J157+J158+J155+J164</f>
        <v>0</v>
      </c>
      <c r="K17" s="108">
        <f>K151+K152+K153+K154+K156+K157+K155+K164+K159</f>
        <v>573299</v>
      </c>
      <c r="L17" s="34">
        <f>L151+L152+L153+L154+L156+L157+L158+L155+L164</f>
        <v>0</v>
      </c>
      <c r="M17" s="34">
        <f t="shared" si="6"/>
        <v>1917866</v>
      </c>
      <c r="N17" s="34">
        <f>N151+N152+N153+N154+N156</f>
        <v>0</v>
      </c>
      <c r="O17" s="34">
        <f>O151+O152+O153+O154+O156</f>
        <v>0</v>
      </c>
      <c r="P17" s="34">
        <f t="shared" si="10"/>
        <v>1917866</v>
      </c>
    </row>
    <row r="18" spans="1:16" s="4" customFormat="1" ht="17.25" x14ac:dyDescent="0.3">
      <c r="A18" s="33" t="s">
        <v>37</v>
      </c>
      <c r="B18" s="15"/>
      <c r="C18" s="15"/>
      <c r="D18" s="15"/>
      <c r="E18" s="34">
        <f>E49+E157</f>
        <v>67000</v>
      </c>
      <c r="F18" s="34">
        <f>F49+F157</f>
        <v>0</v>
      </c>
      <c r="G18" s="34">
        <f>G49+G157</f>
        <v>0</v>
      </c>
      <c r="H18" s="34">
        <f>E18+F18+G18</f>
        <v>67000</v>
      </c>
      <c r="I18" s="108">
        <f>I48+I53+I54+I55+I56+I157+I158</f>
        <v>-1918250</v>
      </c>
      <c r="J18" s="108">
        <f>J48+J51+J157+J158</f>
        <v>3218</v>
      </c>
      <c r="K18" s="108">
        <f>K48+K53+K54+K55+K56+K157+K160+K161+K162+K163</f>
        <v>2280000</v>
      </c>
      <c r="L18" s="34">
        <f>L48+L51+L157+L158</f>
        <v>0</v>
      </c>
      <c r="M18" s="34">
        <f>H18+I18+J18+K18+L18</f>
        <v>431968</v>
      </c>
      <c r="N18" s="34">
        <f>N49+N157</f>
        <v>-31319</v>
      </c>
      <c r="O18" s="34">
        <f>O49+O157</f>
        <v>0</v>
      </c>
      <c r="P18" s="34">
        <f t="shared" si="10"/>
        <v>400649</v>
      </c>
    </row>
    <row r="19" spans="1:16" s="4" customFormat="1" ht="15.75" x14ac:dyDescent="0.25">
      <c r="A19" s="75" t="s">
        <v>54</v>
      </c>
      <c r="B19" s="74"/>
      <c r="C19" s="74"/>
      <c r="D19" s="74"/>
      <c r="E19" s="76">
        <f>E157</f>
        <v>8710</v>
      </c>
      <c r="F19" s="76">
        <f t="shared" ref="F19" si="16">F157</f>
        <v>0</v>
      </c>
      <c r="G19" s="76">
        <f>G157</f>
        <v>0</v>
      </c>
      <c r="H19" s="76">
        <f>E19+F19+G19</f>
        <v>8710</v>
      </c>
      <c r="I19" s="76">
        <f>I157+I158</f>
        <v>0</v>
      </c>
      <c r="J19" s="76">
        <f t="shared" ref="J19:L19" si="17">J157+J158</f>
        <v>0</v>
      </c>
      <c r="K19" s="76">
        <f>K157+K158-K159</f>
        <v>380000</v>
      </c>
      <c r="L19" s="76">
        <f t="shared" si="17"/>
        <v>0</v>
      </c>
      <c r="M19" s="76">
        <f t="shared" si="6"/>
        <v>388710</v>
      </c>
      <c r="N19" s="76">
        <f>N157</f>
        <v>0</v>
      </c>
      <c r="O19" s="76">
        <f>O157</f>
        <v>0</v>
      </c>
      <c r="P19" s="76">
        <f t="shared" si="10"/>
        <v>388710</v>
      </c>
    </row>
    <row r="20" spans="1:16" s="4" customFormat="1" x14ac:dyDescent="0.2">
      <c r="A20" s="17"/>
      <c r="B20" s="15"/>
      <c r="C20" s="15"/>
      <c r="D20" s="15"/>
      <c r="E20" s="18"/>
      <c r="P20" s="4">
        <f t="shared" si="10"/>
        <v>0</v>
      </c>
    </row>
    <row r="21" spans="1:16" s="4" customFormat="1" ht="15.75" x14ac:dyDescent="0.25">
      <c r="A21" s="9" t="s">
        <v>17</v>
      </c>
      <c r="B21" s="8"/>
      <c r="C21" s="35"/>
      <c r="D21" s="36"/>
      <c r="E21" s="43">
        <f>E22+E26+E31</f>
        <v>563641.34558245249</v>
      </c>
      <c r="F21" s="43">
        <f t="shared" ref="F21:L21" si="18">F22+F26+F31</f>
        <v>-1825.7052987483357</v>
      </c>
      <c r="G21" s="43">
        <f t="shared" si="18"/>
        <v>99986.398038858795</v>
      </c>
      <c r="H21" s="43">
        <f>E21+F21+G21</f>
        <v>661802.03832256293</v>
      </c>
      <c r="I21" s="43">
        <f t="shared" si="18"/>
        <v>-11524.688955603331</v>
      </c>
      <c r="J21" s="43">
        <f t="shared" si="18"/>
        <v>3988.6796097657216</v>
      </c>
      <c r="K21" s="43">
        <f t="shared" si="18"/>
        <v>0</v>
      </c>
      <c r="L21" s="43">
        <f t="shared" si="18"/>
        <v>0</v>
      </c>
      <c r="M21" s="43">
        <f>H21+I21+J21+K21+L21</f>
        <v>654266.02897672541</v>
      </c>
      <c r="N21" s="43">
        <f>N22+N26+N31</f>
        <v>-32652.047913519658</v>
      </c>
      <c r="O21" s="43">
        <f>O22+O26+O31</f>
        <v>54566.539833727518</v>
      </c>
      <c r="P21" s="43">
        <f t="shared" si="10"/>
        <v>676180.52089693327</v>
      </c>
    </row>
    <row r="22" spans="1:16" s="4" customFormat="1" x14ac:dyDescent="0.2">
      <c r="A22" s="16" t="s">
        <v>4</v>
      </c>
      <c r="B22" s="37"/>
      <c r="C22" s="38"/>
      <c r="D22" s="38"/>
      <c r="E22" s="44">
        <f>E23</f>
        <v>256251.87566008899</v>
      </c>
      <c r="F22" s="44">
        <f t="shared" ref="F22:L22" si="19">F23</f>
        <v>4272</v>
      </c>
      <c r="G22" s="44">
        <f t="shared" si="19"/>
        <v>0</v>
      </c>
      <c r="H22" s="44">
        <f>E22+F22+G22</f>
        <v>260523.87566008899</v>
      </c>
      <c r="I22" s="44">
        <f t="shared" si="19"/>
        <v>-11524.688955603331</v>
      </c>
      <c r="J22" s="44">
        <f t="shared" si="19"/>
        <v>0</v>
      </c>
      <c r="K22" s="44">
        <f t="shared" si="19"/>
        <v>0</v>
      </c>
      <c r="L22" s="44">
        <f t="shared" si="19"/>
        <v>0</v>
      </c>
      <c r="M22" s="44">
        <f t="shared" ref="M22:M107" si="20">H22+I22+J22+K22+L22</f>
        <v>248999.18670448565</v>
      </c>
      <c r="N22" s="44">
        <f>N23+N24</f>
        <v>5445.4730759731256</v>
      </c>
      <c r="O22" s="44">
        <f>O23+O24</f>
        <v>0</v>
      </c>
      <c r="P22" s="44">
        <f t="shared" si="10"/>
        <v>254444.65978045878</v>
      </c>
    </row>
    <row r="23" spans="1:16" s="4" customFormat="1" x14ac:dyDescent="0.2">
      <c r="A23" s="17" t="s">
        <v>5</v>
      </c>
      <c r="B23" s="39">
        <v>20</v>
      </c>
      <c r="C23" s="39">
        <v>50</v>
      </c>
      <c r="D23" s="15"/>
      <c r="E23" s="45">
        <f>254149.875660089+2102</f>
        <v>256251.87566008899</v>
      </c>
      <c r="F23" s="45">
        <v>4272</v>
      </c>
      <c r="G23" s="45"/>
      <c r="H23" s="45">
        <f t="shared" ref="H23:H58" si="21">E23+F23+G23</f>
        <v>260523.87566008899</v>
      </c>
      <c r="I23" s="45">
        <v>-11524.688955603331</v>
      </c>
      <c r="J23" s="45"/>
      <c r="K23" s="45"/>
      <c r="L23" s="45"/>
      <c r="M23" s="45">
        <f t="shared" si="20"/>
        <v>248999.18670448565</v>
      </c>
      <c r="N23" s="60">
        <v>1284.6514482343002</v>
      </c>
      <c r="P23" s="45">
        <f t="shared" si="10"/>
        <v>250283.83815271995</v>
      </c>
    </row>
    <row r="24" spans="1:16" s="4" customFormat="1" x14ac:dyDescent="0.2">
      <c r="A24" s="17" t="s">
        <v>83</v>
      </c>
      <c r="B24" s="110">
        <v>10</v>
      </c>
      <c r="C24" s="110">
        <v>50</v>
      </c>
      <c r="D24" s="15" t="s">
        <v>36</v>
      </c>
      <c r="E24" s="45"/>
      <c r="F24" s="45"/>
      <c r="G24" s="45"/>
      <c r="H24" s="45"/>
      <c r="I24" s="45"/>
      <c r="J24" s="45"/>
      <c r="K24" s="45"/>
      <c r="L24" s="45"/>
      <c r="M24" s="45"/>
      <c r="N24" s="60">
        <v>4160.8216277388256</v>
      </c>
      <c r="P24" s="45">
        <f t="shared" si="10"/>
        <v>4160.8216277388256</v>
      </c>
    </row>
    <row r="25" spans="1:16" s="4" customFormat="1" x14ac:dyDescent="0.2">
      <c r="A25" s="17"/>
      <c r="B25" s="39"/>
      <c r="C25" s="39"/>
      <c r="D25" s="15"/>
      <c r="E25" s="45">
        <v>0</v>
      </c>
      <c r="H25" s="45"/>
      <c r="I25" s="45"/>
      <c r="J25" s="45"/>
      <c r="K25" s="45"/>
      <c r="L25" s="45"/>
      <c r="M25" s="45">
        <f t="shared" si="20"/>
        <v>0</v>
      </c>
      <c r="P25" s="45">
        <f t="shared" si="10"/>
        <v>0</v>
      </c>
    </row>
    <row r="26" spans="1:16" s="4" customFormat="1" x14ac:dyDescent="0.2">
      <c r="A26" s="21" t="s">
        <v>13</v>
      </c>
      <c r="B26" s="37"/>
      <c r="C26" s="38"/>
      <c r="D26" s="38"/>
      <c r="E26" s="46">
        <f>E27+E28</f>
        <v>307348.46992236353</v>
      </c>
      <c r="F26" s="46">
        <f t="shared" ref="F26:L26" si="22">F27+F28</f>
        <v>-6097.7052987483357</v>
      </c>
      <c r="G26" s="46">
        <f t="shared" si="22"/>
        <v>99986.398038858795</v>
      </c>
      <c r="H26" s="46">
        <f t="shared" si="21"/>
        <v>401237.16266247397</v>
      </c>
      <c r="I26" s="46">
        <f t="shared" si="22"/>
        <v>0</v>
      </c>
      <c r="J26" s="46">
        <f t="shared" si="22"/>
        <v>3988.6796097657216</v>
      </c>
      <c r="K26" s="46">
        <f t="shared" si="22"/>
        <v>0</v>
      </c>
      <c r="L26" s="46">
        <f t="shared" si="22"/>
        <v>0</v>
      </c>
      <c r="M26" s="46">
        <f t="shared" si="20"/>
        <v>405225.84227223968</v>
      </c>
      <c r="N26" s="46">
        <f>N27+N28+N29</f>
        <v>-38097.520989492783</v>
      </c>
      <c r="O26" s="46">
        <f>O27+O28+O29</f>
        <v>54566.539833727518</v>
      </c>
      <c r="P26" s="46">
        <f t="shared" si="10"/>
        <v>421694.86111647444</v>
      </c>
    </row>
    <row r="27" spans="1:16" s="4" customFormat="1" x14ac:dyDescent="0.2">
      <c r="A27" s="17" t="s">
        <v>8</v>
      </c>
      <c r="B27" s="39">
        <v>20</v>
      </c>
      <c r="C27" s="39">
        <v>55</v>
      </c>
      <c r="D27" s="15"/>
      <c r="E27" s="45">
        <v>261520.2600079962</v>
      </c>
      <c r="F27" s="45">
        <v>-5153.4100509206</v>
      </c>
      <c r="G27" s="45">
        <v>99986.398038858795</v>
      </c>
      <c r="H27" s="45">
        <f t="shared" si="21"/>
        <v>356353.24799593439</v>
      </c>
      <c r="I27" s="45"/>
      <c r="J27" s="45">
        <v>3988.6796097657216</v>
      </c>
      <c r="K27" s="45"/>
      <c r="L27" s="45"/>
      <c r="M27" s="45">
        <f t="shared" si="20"/>
        <v>360341.9276057001</v>
      </c>
      <c r="N27" s="45">
        <v>-27173.081203395301</v>
      </c>
      <c r="P27" s="45">
        <f t="shared" si="10"/>
        <v>333168.84640230477</v>
      </c>
    </row>
    <row r="28" spans="1:16" s="4" customFormat="1" x14ac:dyDescent="0.2">
      <c r="A28" s="17" t="s">
        <v>9</v>
      </c>
      <c r="B28" s="39">
        <v>20</v>
      </c>
      <c r="C28" s="39">
        <v>55</v>
      </c>
      <c r="D28" s="15" t="s">
        <v>10</v>
      </c>
      <c r="E28" s="45">
        <v>45828.209914367297</v>
      </c>
      <c r="F28" s="45">
        <v>-944.29524782773603</v>
      </c>
      <c r="G28" s="45"/>
      <c r="H28" s="45">
        <f t="shared" si="21"/>
        <v>44883.91466653956</v>
      </c>
      <c r="I28" s="45"/>
      <c r="J28" s="45"/>
      <c r="K28" s="45"/>
      <c r="L28" s="45"/>
      <c r="M28" s="45">
        <f t="shared" si="20"/>
        <v>44883.91466653956</v>
      </c>
      <c r="P28" s="45">
        <f t="shared" si="10"/>
        <v>44883.91466653956</v>
      </c>
    </row>
    <row r="29" spans="1:16" s="4" customFormat="1" x14ac:dyDescent="0.2">
      <c r="A29" s="17" t="s">
        <v>84</v>
      </c>
      <c r="B29" s="39">
        <v>20</v>
      </c>
      <c r="C29" s="39">
        <v>55</v>
      </c>
      <c r="D29" s="15" t="s">
        <v>85</v>
      </c>
      <c r="E29" s="45"/>
      <c r="F29" s="45"/>
      <c r="G29" s="45"/>
      <c r="H29" s="45"/>
      <c r="I29" s="45"/>
      <c r="J29" s="45"/>
      <c r="K29" s="45"/>
      <c r="L29" s="45"/>
      <c r="M29" s="45"/>
      <c r="N29" s="45">
        <v>-10924.439786097486</v>
      </c>
      <c r="O29" s="45">
        <v>54566.539833727518</v>
      </c>
      <c r="P29" s="45">
        <f t="shared" si="10"/>
        <v>43642.100047630032</v>
      </c>
    </row>
    <row r="30" spans="1:16" s="4" customFormat="1" x14ac:dyDescent="0.2">
      <c r="A30" s="17"/>
      <c r="B30" s="39"/>
      <c r="C30" s="39"/>
      <c r="D30" s="15"/>
      <c r="E30" s="45"/>
      <c r="H30" s="45"/>
      <c r="I30" s="45"/>
      <c r="J30" s="45"/>
      <c r="K30" s="45"/>
      <c r="L30" s="45"/>
      <c r="M30" s="45">
        <f t="shared" si="20"/>
        <v>0</v>
      </c>
      <c r="P30" s="45">
        <f t="shared" si="10"/>
        <v>0</v>
      </c>
    </row>
    <row r="31" spans="1:16" s="4" customFormat="1" x14ac:dyDescent="0.2">
      <c r="A31" s="16" t="s">
        <v>12</v>
      </c>
      <c r="B31" s="37">
        <v>60</v>
      </c>
      <c r="C31" s="38">
        <v>610</v>
      </c>
      <c r="D31" s="40"/>
      <c r="E31" s="46">
        <v>41</v>
      </c>
      <c r="H31" s="45">
        <f t="shared" si="21"/>
        <v>41</v>
      </c>
      <c r="I31" s="45"/>
      <c r="J31" s="45"/>
      <c r="K31" s="45"/>
      <c r="L31" s="45"/>
      <c r="M31" s="45">
        <f t="shared" si="20"/>
        <v>41</v>
      </c>
      <c r="P31" s="45">
        <f t="shared" si="10"/>
        <v>41</v>
      </c>
    </row>
    <row r="32" spans="1:16" s="4" customFormat="1" x14ac:dyDescent="0.2">
      <c r="A32" s="13"/>
      <c r="B32" s="37"/>
      <c r="C32" s="38"/>
      <c r="D32" s="40"/>
      <c r="E32" s="45">
        <v>0</v>
      </c>
      <c r="H32" s="45"/>
      <c r="I32" s="45"/>
      <c r="J32" s="45"/>
      <c r="K32" s="45"/>
      <c r="L32" s="45"/>
      <c r="M32" s="45">
        <f t="shared" si="20"/>
        <v>0</v>
      </c>
      <c r="P32" s="45">
        <f t="shared" si="10"/>
        <v>0</v>
      </c>
    </row>
    <row r="33" spans="1:16" s="22" customFormat="1" ht="15.75" x14ac:dyDescent="0.25">
      <c r="A33" s="103" t="s">
        <v>18</v>
      </c>
      <c r="B33" s="81"/>
      <c r="C33" s="36"/>
      <c r="D33" s="36"/>
      <c r="E33" s="43">
        <f>E34+E37+E42+E58</f>
        <v>4174048.5710321586</v>
      </c>
      <c r="F33" s="43">
        <f>F34+F37+F42+F58</f>
        <v>-241903.75459884782</v>
      </c>
      <c r="G33" s="43">
        <f>G34+G37+G42+G58</f>
        <v>141274.784226574</v>
      </c>
      <c r="H33" s="43">
        <f t="shared" si="21"/>
        <v>4073419.6006598845</v>
      </c>
      <c r="I33" s="43">
        <f>I34+I37+I42+I58+I52</f>
        <v>-2153602.7627620948</v>
      </c>
      <c r="J33" s="43">
        <f>J34+J37+J42+J58</f>
        <v>963842.76508676296</v>
      </c>
      <c r="K33" s="43">
        <f>K34+K37+K42+K58+K52</f>
        <v>2045158</v>
      </c>
      <c r="L33" s="43">
        <f>L34+L37+L42+L58</f>
        <v>0</v>
      </c>
      <c r="M33" s="43">
        <f>H33+I33+J33+K33+L33</f>
        <v>4928817.6029845532</v>
      </c>
      <c r="N33" s="43">
        <f>N34+N37+N42+N58</f>
        <v>-608452.01121583814</v>
      </c>
      <c r="O33" s="43">
        <f>O34+O37+O42+O58</f>
        <v>77099.248419816082</v>
      </c>
      <c r="P33" s="43">
        <f>M33+N33+O33</f>
        <v>4397464.8401885312</v>
      </c>
    </row>
    <row r="34" spans="1:16" s="83" customFormat="1" x14ac:dyDescent="0.2">
      <c r="A34" s="82" t="s">
        <v>6</v>
      </c>
      <c r="B34" s="81"/>
      <c r="C34" s="36"/>
      <c r="D34" s="36"/>
      <c r="E34" s="46">
        <f>E35</f>
        <v>5000</v>
      </c>
      <c r="F34" s="46">
        <f t="shared" ref="F34:G34" si="23">F35</f>
        <v>0</v>
      </c>
      <c r="G34" s="46">
        <f t="shared" si="23"/>
        <v>0</v>
      </c>
      <c r="H34" s="46">
        <f t="shared" si="21"/>
        <v>5000</v>
      </c>
      <c r="I34" s="46"/>
      <c r="J34" s="46"/>
      <c r="K34" s="46"/>
      <c r="L34" s="46"/>
      <c r="M34" s="46">
        <f t="shared" si="20"/>
        <v>5000</v>
      </c>
      <c r="N34" s="46">
        <f>N35</f>
        <v>0</v>
      </c>
      <c r="O34" s="46">
        <f>O35</f>
        <v>0</v>
      </c>
      <c r="P34" s="46">
        <f t="shared" si="10"/>
        <v>5000</v>
      </c>
    </row>
    <row r="35" spans="1:16" s="83" customFormat="1" x14ac:dyDescent="0.2">
      <c r="A35" s="84" t="s">
        <v>24</v>
      </c>
      <c r="B35" s="15">
        <v>20</v>
      </c>
      <c r="C35" s="15">
        <v>41</v>
      </c>
      <c r="D35" s="85"/>
      <c r="E35" s="45">
        <v>5000</v>
      </c>
      <c r="H35" s="45">
        <f t="shared" si="21"/>
        <v>5000</v>
      </c>
      <c r="I35" s="45"/>
      <c r="J35" s="45"/>
      <c r="K35" s="45"/>
      <c r="L35" s="45"/>
      <c r="M35" s="45">
        <f t="shared" si="20"/>
        <v>5000</v>
      </c>
      <c r="P35" s="45">
        <f t="shared" si="10"/>
        <v>5000</v>
      </c>
    </row>
    <row r="36" spans="1:16" s="83" customFormat="1" ht="15.75" x14ac:dyDescent="0.2">
      <c r="A36" s="84"/>
      <c r="B36" s="81"/>
      <c r="C36" s="36"/>
      <c r="D36" s="36"/>
      <c r="E36" s="43"/>
      <c r="H36" s="45"/>
      <c r="I36" s="45"/>
      <c r="J36" s="45"/>
      <c r="K36" s="45"/>
      <c r="L36" s="45"/>
      <c r="M36" s="45">
        <f t="shared" si="20"/>
        <v>0</v>
      </c>
      <c r="P36" s="45">
        <f t="shared" si="10"/>
        <v>0</v>
      </c>
    </row>
    <row r="37" spans="1:16" s="83" customFormat="1" x14ac:dyDescent="0.2">
      <c r="A37" s="82" t="s">
        <v>4</v>
      </c>
      <c r="B37" s="86"/>
      <c r="C37" s="42"/>
      <c r="D37" s="38"/>
      <c r="E37" s="87">
        <f>E38+E40</f>
        <v>2122191.9656530498</v>
      </c>
      <c r="F37" s="87">
        <f t="shared" ref="F37" si="24">F38+F40</f>
        <v>29569</v>
      </c>
      <c r="G37" s="87">
        <f>G38+G40</f>
        <v>0</v>
      </c>
      <c r="H37" s="87">
        <f t="shared" si="21"/>
        <v>2151760.9656530498</v>
      </c>
      <c r="I37" s="87">
        <f t="shared" ref="I37:L37" si="25">I38+I40</f>
        <v>-108444.76276209476</v>
      </c>
      <c r="J37" s="87">
        <f t="shared" si="25"/>
        <v>0</v>
      </c>
      <c r="K37" s="87">
        <f t="shared" si="25"/>
        <v>0</v>
      </c>
      <c r="L37" s="87">
        <f t="shared" si="25"/>
        <v>0</v>
      </c>
      <c r="M37" s="87">
        <f t="shared" si="20"/>
        <v>2043316.2028909549</v>
      </c>
      <c r="N37" s="87">
        <f>N38+N40+N39</f>
        <v>-136049.49877289351</v>
      </c>
      <c r="O37" s="87">
        <f>O38+O40+O39</f>
        <v>0</v>
      </c>
      <c r="P37" s="87">
        <f t="shared" si="10"/>
        <v>1907266.7041180613</v>
      </c>
    </row>
    <row r="38" spans="1:16" s="83" customFormat="1" x14ac:dyDescent="0.2">
      <c r="A38" s="84" t="s">
        <v>5</v>
      </c>
      <c r="B38" s="68">
        <v>20</v>
      </c>
      <c r="C38" s="68">
        <v>50</v>
      </c>
      <c r="D38" s="68"/>
      <c r="E38" s="45">
        <f>1759276.96565305+397</f>
        <v>1759673.96565305</v>
      </c>
      <c r="F38" s="104">
        <v>29569</v>
      </c>
      <c r="G38" s="79"/>
      <c r="H38" s="45">
        <f t="shared" si="21"/>
        <v>1789242.96565305</v>
      </c>
      <c r="I38" s="45">
        <v>-79773.762762094761</v>
      </c>
      <c r="J38" s="45"/>
      <c r="K38" s="45"/>
      <c r="L38" s="45"/>
      <c r="M38" s="45">
        <f t="shared" si="20"/>
        <v>1709469.2028909551</v>
      </c>
      <c r="N38" s="60">
        <v>8892.3423667410898</v>
      </c>
      <c r="P38" s="45">
        <f t="shared" si="10"/>
        <v>1718361.5452576962</v>
      </c>
    </row>
    <row r="39" spans="1:16" s="83" customFormat="1" x14ac:dyDescent="0.2">
      <c r="A39" s="17" t="s">
        <v>83</v>
      </c>
      <c r="B39" s="110">
        <v>10</v>
      </c>
      <c r="C39" s="110">
        <v>50</v>
      </c>
      <c r="D39" s="15" t="s">
        <v>36</v>
      </c>
      <c r="E39" s="45"/>
      <c r="F39" s="104"/>
      <c r="G39" s="79"/>
      <c r="H39" s="45"/>
      <c r="I39" s="45"/>
      <c r="J39" s="45"/>
      <c r="K39" s="45"/>
      <c r="L39" s="45"/>
      <c r="M39" s="45"/>
      <c r="N39" s="60">
        <v>28801.158860365409</v>
      </c>
      <c r="P39" s="45">
        <f t="shared" si="10"/>
        <v>28801.158860365409</v>
      </c>
    </row>
    <row r="40" spans="1:16" s="79" customFormat="1" x14ac:dyDescent="0.2">
      <c r="A40" s="77" t="s">
        <v>43</v>
      </c>
      <c r="B40" s="71">
        <v>20</v>
      </c>
      <c r="C40" s="71">
        <v>50</v>
      </c>
      <c r="D40" s="71"/>
      <c r="E40" s="78">
        <v>362518</v>
      </c>
      <c r="H40" s="45">
        <f t="shared" si="21"/>
        <v>362518</v>
      </c>
      <c r="I40" s="45">
        <v>-28671</v>
      </c>
      <c r="J40" s="45"/>
      <c r="K40" s="45"/>
      <c r="L40" s="45"/>
      <c r="M40" s="45">
        <f t="shared" si="20"/>
        <v>333847</v>
      </c>
      <c r="N40" s="76">
        <f>-170993-2750</f>
        <v>-173743</v>
      </c>
      <c r="P40" s="45">
        <f t="shared" si="10"/>
        <v>160104</v>
      </c>
    </row>
    <row r="41" spans="1:16" s="83" customFormat="1" x14ac:dyDescent="0.2">
      <c r="A41" s="84"/>
      <c r="B41" s="68"/>
      <c r="C41" s="68"/>
      <c r="D41" s="68"/>
      <c r="E41" s="45"/>
      <c r="F41" s="79"/>
      <c r="G41" s="79"/>
      <c r="H41" s="45"/>
      <c r="I41" s="45"/>
      <c r="J41" s="45"/>
      <c r="K41" s="45"/>
      <c r="L41" s="45"/>
      <c r="M41" s="45">
        <f t="shared" si="20"/>
        <v>0</v>
      </c>
      <c r="P41" s="45">
        <f t="shared" si="10"/>
        <v>0</v>
      </c>
    </row>
    <row r="42" spans="1:16" s="83" customFormat="1" x14ac:dyDescent="0.2">
      <c r="A42" s="88" t="s">
        <v>13</v>
      </c>
      <c r="B42" s="105"/>
      <c r="C42" s="38"/>
      <c r="D42" s="38"/>
      <c r="E42" s="106">
        <f>E43+E44+E46</f>
        <v>2046389.5418590847</v>
      </c>
      <c r="F42" s="106">
        <f t="shared" ref="F42:G42" si="26">F43+F44+F46</f>
        <v>-271472.75459884782</v>
      </c>
      <c r="G42" s="106">
        <f t="shared" si="26"/>
        <v>141274.784226574</v>
      </c>
      <c r="H42" s="106">
        <f>E42+F42+G42</f>
        <v>1916191.5714868109</v>
      </c>
      <c r="I42" s="106">
        <f>I43+I44+I46</f>
        <v>0</v>
      </c>
      <c r="J42" s="106">
        <f t="shared" ref="J42:L42" si="27">J43+J44+J46</f>
        <v>963842.76508676296</v>
      </c>
      <c r="K42" s="106">
        <f t="shared" si="27"/>
        <v>0</v>
      </c>
      <c r="L42" s="106">
        <f t="shared" si="27"/>
        <v>0</v>
      </c>
      <c r="M42" s="87">
        <f t="shared" si="20"/>
        <v>2880034.3365735738</v>
      </c>
      <c r="N42" s="106">
        <f>N43+N44+N46+N45</f>
        <v>-472402.51244294457</v>
      </c>
      <c r="O42" s="106">
        <f>O43+O44+O46+O45</f>
        <v>77099.248419816082</v>
      </c>
      <c r="P42" s="87">
        <f t="shared" si="10"/>
        <v>2484731.0725504453</v>
      </c>
    </row>
    <row r="43" spans="1:16" s="83" customFormat="1" x14ac:dyDescent="0.2">
      <c r="A43" s="84" t="s">
        <v>8</v>
      </c>
      <c r="B43" s="68">
        <v>20</v>
      </c>
      <c r="C43" s="68">
        <v>55</v>
      </c>
      <c r="D43" s="68"/>
      <c r="E43" s="45">
        <v>369512.3319447175</v>
      </c>
      <c r="F43" s="104">
        <v>-7281.4593510200702</v>
      </c>
      <c r="G43" s="45">
        <v>141274.784226574</v>
      </c>
      <c r="H43" s="45">
        <f t="shared" si="21"/>
        <v>503505.65682027146</v>
      </c>
      <c r="I43" s="45"/>
      <c r="J43" s="45">
        <v>5635.7650867629718</v>
      </c>
      <c r="K43" s="45"/>
      <c r="L43" s="45"/>
      <c r="M43" s="45">
        <f t="shared" si="20"/>
        <v>509141.42190703441</v>
      </c>
      <c r="N43" s="60">
        <v>-38393.9341658142</v>
      </c>
      <c r="P43" s="45">
        <f t="shared" si="10"/>
        <v>470747.48774122022</v>
      </c>
    </row>
    <row r="44" spans="1:16" s="83" customFormat="1" x14ac:dyDescent="0.2">
      <c r="A44" s="84" t="s">
        <v>9</v>
      </c>
      <c r="B44" s="68">
        <v>20</v>
      </c>
      <c r="C44" s="68">
        <v>55</v>
      </c>
      <c r="D44" s="68" t="s">
        <v>10</v>
      </c>
      <c r="E44" s="45">
        <v>45828.209914367297</v>
      </c>
      <c r="F44" s="104">
        <v>-944.29524782773603</v>
      </c>
      <c r="G44" s="79"/>
      <c r="H44" s="45">
        <f t="shared" si="21"/>
        <v>44883.91466653956</v>
      </c>
      <c r="I44" s="45"/>
      <c r="J44" s="45"/>
      <c r="K44" s="45"/>
      <c r="L44" s="45"/>
      <c r="M44" s="45">
        <f t="shared" si="20"/>
        <v>44883.91466653956</v>
      </c>
      <c r="P44" s="45">
        <f t="shared" si="10"/>
        <v>44883.91466653956</v>
      </c>
    </row>
    <row r="45" spans="1:16" s="83" customFormat="1" x14ac:dyDescent="0.2">
      <c r="A45" s="17" t="s">
        <v>84</v>
      </c>
      <c r="B45" s="39">
        <v>20</v>
      </c>
      <c r="C45" s="39">
        <v>55</v>
      </c>
      <c r="D45" s="15" t="s">
        <v>85</v>
      </c>
      <c r="E45" s="45"/>
      <c r="F45" s="104"/>
      <c r="G45" s="79"/>
      <c r="H45" s="45"/>
      <c r="I45" s="45"/>
      <c r="J45" s="45"/>
      <c r="K45" s="45"/>
      <c r="L45" s="45"/>
      <c r="M45" s="45"/>
      <c r="N45" s="60">
        <v>-15435.578277130351</v>
      </c>
      <c r="O45" s="60">
        <v>77099.248419816082</v>
      </c>
      <c r="P45" s="45">
        <f t="shared" si="10"/>
        <v>61663.670142685733</v>
      </c>
    </row>
    <row r="46" spans="1:16" s="79" customFormat="1" x14ac:dyDescent="0.2">
      <c r="A46" s="77" t="s">
        <v>44</v>
      </c>
      <c r="B46" s="71">
        <v>20</v>
      </c>
      <c r="C46" s="71">
        <v>55</v>
      </c>
      <c r="D46" s="71"/>
      <c r="E46" s="78">
        <v>1631049</v>
      </c>
      <c r="F46" s="78">
        <v>-263247</v>
      </c>
      <c r="G46" s="78"/>
      <c r="H46" s="78">
        <f t="shared" si="21"/>
        <v>1367802</v>
      </c>
      <c r="I46" s="78"/>
      <c r="J46" s="78">
        <v>958207</v>
      </c>
      <c r="K46" s="78"/>
      <c r="L46" s="78"/>
      <c r="M46" s="78">
        <f t="shared" si="20"/>
        <v>2326009</v>
      </c>
      <c r="N46" s="76">
        <v>-418573</v>
      </c>
      <c r="P46" s="78">
        <f t="shared" si="10"/>
        <v>1907436</v>
      </c>
    </row>
    <row r="47" spans="1:16" s="83" customFormat="1" x14ac:dyDescent="0.2">
      <c r="A47" s="84"/>
      <c r="B47" s="68"/>
      <c r="C47" s="68"/>
      <c r="D47" s="68"/>
      <c r="E47" s="45"/>
      <c r="F47" s="79"/>
      <c r="G47" s="79"/>
      <c r="H47" s="45"/>
      <c r="I47" s="45"/>
      <c r="J47" s="45"/>
      <c r="K47" s="45"/>
      <c r="L47" s="45"/>
      <c r="M47" s="45">
        <f t="shared" si="20"/>
        <v>0</v>
      </c>
      <c r="P47" s="45">
        <f t="shared" si="10"/>
        <v>0</v>
      </c>
    </row>
    <row r="48" spans="1:16" s="83" customFormat="1" x14ac:dyDescent="0.2">
      <c r="A48" s="82" t="s">
        <v>53</v>
      </c>
      <c r="B48" s="68"/>
      <c r="C48" s="68"/>
      <c r="D48" s="68"/>
      <c r="E48" s="106">
        <f>E49</f>
        <v>58290</v>
      </c>
      <c r="F48" s="106">
        <f>F49</f>
        <v>0</v>
      </c>
      <c r="G48" s="106">
        <f>G49</f>
        <v>0</v>
      </c>
      <c r="H48" s="106">
        <f t="shared" si="21"/>
        <v>58290</v>
      </c>
      <c r="I48" s="106">
        <f>I49</f>
        <v>-18250</v>
      </c>
      <c r="J48" s="106">
        <f>J49</f>
        <v>3218</v>
      </c>
      <c r="K48" s="106">
        <f>K49</f>
        <v>0</v>
      </c>
      <c r="L48" s="106">
        <f>L49</f>
        <v>0</v>
      </c>
      <c r="M48" s="87">
        <f>H48+I48+J48+K48+L48</f>
        <v>43258</v>
      </c>
      <c r="N48" s="106">
        <f>N49</f>
        <v>-31319</v>
      </c>
      <c r="O48" s="106">
        <f>O49</f>
        <v>0</v>
      </c>
      <c r="P48" s="87">
        <f t="shared" si="10"/>
        <v>11939</v>
      </c>
    </row>
    <row r="49" spans="1:16" s="79" customFormat="1" x14ac:dyDescent="0.2">
      <c r="A49" s="77" t="s">
        <v>45</v>
      </c>
      <c r="B49" s="71">
        <v>20</v>
      </c>
      <c r="C49" s="96">
        <v>15</v>
      </c>
      <c r="D49" s="71" t="s">
        <v>38</v>
      </c>
      <c r="E49" s="78">
        <v>58290</v>
      </c>
      <c r="H49" s="45">
        <f t="shared" si="21"/>
        <v>58290</v>
      </c>
      <c r="I49" s="45">
        <v>-18250</v>
      </c>
      <c r="J49" s="45">
        <v>3218</v>
      </c>
      <c r="K49" s="45"/>
      <c r="L49" s="45"/>
      <c r="M49" s="45">
        <f>H49+I49+J49+K49+L49</f>
        <v>43258</v>
      </c>
      <c r="N49" s="76">
        <f>-30000-1319</f>
        <v>-31319</v>
      </c>
      <c r="P49" s="45">
        <f t="shared" si="10"/>
        <v>11939</v>
      </c>
    </row>
    <row r="50" spans="1:16" s="83" customFormat="1" x14ac:dyDescent="0.2">
      <c r="A50" s="84"/>
      <c r="B50" s="68"/>
      <c r="C50" s="68"/>
      <c r="D50" s="68"/>
      <c r="E50" s="45"/>
      <c r="F50" s="79"/>
      <c r="G50" s="79"/>
      <c r="H50" s="45">
        <f t="shared" si="21"/>
        <v>0</v>
      </c>
      <c r="I50" s="45"/>
      <c r="J50" s="45"/>
      <c r="K50" s="45"/>
      <c r="L50" s="45"/>
      <c r="M50" s="45">
        <f t="shared" si="20"/>
        <v>0</v>
      </c>
      <c r="P50" s="45">
        <f t="shared" si="10"/>
        <v>0</v>
      </c>
    </row>
    <row r="51" spans="1:16" s="83" customFormat="1" hidden="1" x14ac:dyDescent="0.2">
      <c r="A51" s="82" t="s">
        <v>71</v>
      </c>
      <c r="B51" s="68"/>
      <c r="C51" s="68"/>
      <c r="D51" s="68"/>
      <c r="E51" s="45"/>
      <c r="F51" s="79"/>
      <c r="G51" s="79"/>
      <c r="H51" s="45"/>
      <c r="I51" s="46">
        <f>I52+I53+I54+I55+I56</f>
        <v>-3945158</v>
      </c>
      <c r="J51" s="46">
        <f t="shared" ref="J51:L51" si="28">J52+J53+J54+J55+J56</f>
        <v>0</v>
      </c>
      <c r="K51" s="46">
        <f t="shared" si="28"/>
        <v>3945158</v>
      </c>
      <c r="L51" s="46">
        <f t="shared" si="28"/>
        <v>0</v>
      </c>
      <c r="M51" s="45">
        <f>H51+I51+J51+K51+L51</f>
        <v>0</v>
      </c>
      <c r="P51" s="45">
        <f t="shared" si="10"/>
        <v>0</v>
      </c>
    </row>
    <row r="52" spans="1:16" s="83" customFormat="1" hidden="1" x14ac:dyDescent="0.2">
      <c r="A52" s="77" t="s">
        <v>8</v>
      </c>
      <c r="B52" s="107">
        <v>20</v>
      </c>
      <c r="C52" s="107">
        <v>55</v>
      </c>
      <c r="D52" s="71" t="s">
        <v>66</v>
      </c>
      <c r="E52" s="45"/>
      <c r="F52" s="79"/>
      <c r="G52" s="79"/>
      <c r="H52" s="45"/>
      <c r="I52" s="45">
        <v>-2045158</v>
      </c>
      <c r="J52" s="46"/>
      <c r="K52" s="45">
        <v>2045158</v>
      </c>
      <c r="L52" s="45"/>
      <c r="M52" s="45">
        <f t="shared" ref="M52:M56" si="29">H52+I52+J52+K52+L52</f>
        <v>0</v>
      </c>
      <c r="P52" s="45">
        <f t="shared" si="10"/>
        <v>0</v>
      </c>
    </row>
    <row r="53" spans="1:16" s="83" customFormat="1" hidden="1" x14ac:dyDescent="0.2">
      <c r="A53" s="97" t="s">
        <v>73</v>
      </c>
      <c r="B53" s="68">
        <v>20</v>
      </c>
      <c r="C53" s="68">
        <v>15</v>
      </c>
      <c r="D53" s="68" t="s">
        <v>77</v>
      </c>
      <c r="E53" s="45">
        <v>0</v>
      </c>
      <c r="F53" s="79"/>
      <c r="G53" s="79"/>
      <c r="H53" s="45"/>
      <c r="I53" s="45">
        <v>-120000</v>
      </c>
      <c r="J53" s="45"/>
      <c r="K53" s="45">
        <v>120000</v>
      </c>
      <c r="L53" s="45"/>
      <c r="M53" s="45">
        <f t="shared" si="29"/>
        <v>0</v>
      </c>
      <c r="P53" s="45">
        <f t="shared" si="10"/>
        <v>0</v>
      </c>
    </row>
    <row r="54" spans="1:16" s="83" customFormat="1" hidden="1" x14ac:dyDescent="0.2">
      <c r="A54" s="97" t="s">
        <v>74</v>
      </c>
      <c r="B54" s="68">
        <v>20</v>
      </c>
      <c r="C54" s="68">
        <v>15</v>
      </c>
      <c r="D54" s="68" t="s">
        <v>78</v>
      </c>
      <c r="E54" s="45">
        <v>0</v>
      </c>
      <c r="F54" s="79"/>
      <c r="G54" s="79"/>
      <c r="H54" s="45"/>
      <c r="I54" s="45">
        <v>-1045000</v>
      </c>
      <c r="J54" s="45"/>
      <c r="K54" s="45">
        <v>1045000</v>
      </c>
      <c r="L54" s="45"/>
      <c r="M54" s="45">
        <f t="shared" si="29"/>
        <v>0</v>
      </c>
      <c r="P54" s="45">
        <f t="shared" si="10"/>
        <v>0</v>
      </c>
    </row>
    <row r="55" spans="1:16" s="83" customFormat="1" hidden="1" x14ac:dyDescent="0.2">
      <c r="A55" s="97" t="s">
        <v>76</v>
      </c>
      <c r="B55" s="68">
        <v>20</v>
      </c>
      <c r="C55" s="68">
        <v>15</v>
      </c>
      <c r="D55" s="68" t="s">
        <v>79</v>
      </c>
      <c r="E55" s="45">
        <v>0</v>
      </c>
      <c r="F55" s="79"/>
      <c r="G55" s="79"/>
      <c r="H55" s="45"/>
      <c r="I55" s="45">
        <v>-135000</v>
      </c>
      <c r="J55" s="45"/>
      <c r="K55" s="45">
        <v>135000</v>
      </c>
      <c r="L55" s="45"/>
      <c r="M55" s="45">
        <f t="shared" si="29"/>
        <v>0</v>
      </c>
      <c r="P55" s="45">
        <f t="shared" si="10"/>
        <v>0</v>
      </c>
    </row>
    <row r="56" spans="1:16" s="83" customFormat="1" hidden="1" x14ac:dyDescent="0.2">
      <c r="A56" s="97" t="s">
        <v>75</v>
      </c>
      <c r="B56" s="68">
        <v>20</v>
      </c>
      <c r="C56" s="68">
        <v>15</v>
      </c>
      <c r="D56" s="68" t="s">
        <v>80</v>
      </c>
      <c r="E56" s="45">
        <v>0</v>
      </c>
      <c r="F56" s="79"/>
      <c r="G56" s="79"/>
      <c r="H56" s="45"/>
      <c r="I56" s="45">
        <v>-600000</v>
      </c>
      <c r="J56" s="45"/>
      <c r="K56" s="45">
        <v>600000</v>
      </c>
      <c r="L56" s="45"/>
      <c r="M56" s="45">
        <f t="shared" si="29"/>
        <v>0</v>
      </c>
      <c r="P56" s="45">
        <f t="shared" si="10"/>
        <v>0</v>
      </c>
    </row>
    <row r="57" spans="1:16" s="83" customFormat="1" hidden="1" x14ac:dyDescent="0.2">
      <c r="A57" s="92"/>
      <c r="B57" s="15"/>
      <c r="C57" s="15"/>
      <c r="D57" s="15"/>
      <c r="E57" s="45"/>
      <c r="H57" s="45"/>
      <c r="I57" s="45"/>
      <c r="J57" s="45"/>
      <c r="K57" s="45"/>
      <c r="L57" s="45"/>
      <c r="M57" s="45"/>
      <c r="P57" s="45">
        <f t="shared" si="10"/>
        <v>0</v>
      </c>
    </row>
    <row r="58" spans="1:16" x14ac:dyDescent="0.2">
      <c r="A58" s="16" t="s">
        <v>12</v>
      </c>
      <c r="B58" s="37">
        <v>60</v>
      </c>
      <c r="C58" s="38">
        <v>610</v>
      </c>
      <c r="D58" s="40"/>
      <c r="E58" s="46">
        <v>467.06352002390702</v>
      </c>
      <c r="H58" s="45">
        <f t="shared" si="21"/>
        <v>467.06352002390702</v>
      </c>
      <c r="I58" s="45"/>
      <c r="J58" s="45"/>
      <c r="K58" s="45"/>
      <c r="L58" s="45"/>
      <c r="M58" s="45">
        <f t="shared" si="20"/>
        <v>467.06352002390702</v>
      </c>
      <c r="P58" s="45">
        <f t="shared" si="10"/>
        <v>467.06352002390702</v>
      </c>
    </row>
    <row r="59" spans="1:16" x14ac:dyDescent="0.2">
      <c r="A59" s="13"/>
      <c r="B59" s="37"/>
      <c r="C59" s="38"/>
      <c r="D59" s="40"/>
      <c r="H59" s="45"/>
      <c r="I59" s="45"/>
      <c r="J59" s="45"/>
      <c r="K59" s="45"/>
      <c r="L59" s="45"/>
      <c r="M59" s="45">
        <f t="shared" si="20"/>
        <v>0</v>
      </c>
      <c r="P59" s="45">
        <f t="shared" si="10"/>
        <v>0</v>
      </c>
    </row>
    <row r="60" spans="1:16" ht="15.75" x14ac:dyDescent="0.25">
      <c r="A60" s="103" t="s">
        <v>19</v>
      </c>
      <c r="B60" s="41"/>
      <c r="C60" s="47"/>
      <c r="D60" s="36"/>
      <c r="E60" s="43">
        <f>E61+E69+E77</f>
        <v>3605876.8327119597</v>
      </c>
      <c r="F60" s="43">
        <f>F61+F69+F77</f>
        <v>-229821.41252673086</v>
      </c>
      <c r="G60" s="43">
        <f>G61+G69+G77</f>
        <v>400375.963696033</v>
      </c>
      <c r="H60" s="43">
        <f>E60+F60+G60</f>
        <v>3776431.3838812616</v>
      </c>
      <c r="I60" s="43">
        <f>I61+I69+I77</f>
        <v>-721133.25814267807</v>
      </c>
      <c r="J60" s="43">
        <f>J61+J69+J77</f>
        <v>268195.88691619853</v>
      </c>
      <c r="K60" s="43">
        <f>K61+K69+K77</f>
        <v>110833</v>
      </c>
      <c r="L60" s="43">
        <f t="shared" ref="L60" si="30">L61+L69+L77</f>
        <v>0</v>
      </c>
      <c r="M60" s="43">
        <f t="shared" si="20"/>
        <v>3434327.0126547823</v>
      </c>
      <c r="N60" s="43">
        <f>N61+N69+N77</f>
        <v>-2012087.6078582983</v>
      </c>
      <c r="O60" s="43">
        <f>O61+O69+O77</f>
        <v>6118501.0301400786</v>
      </c>
      <c r="P60" s="43">
        <f>M60+N60+O60</f>
        <v>7540740.4349365626</v>
      </c>
    </row>
    <row r="61" spans="1:16" x14ac:dyDescent="0.2">
      <c r="A61" s="16" t="s">
        <v>4</v>
      </c>
      <c r="B61" s="37"/>
      <c r="C61" s="38"/>
      <c r="D61" s="38"/>
      <c r="E61" s="44">
        <f>E62+E64+E65+E66</f>
        <v>2150070.9087262303</v>
      </c>
      <c r="F61" s="44">
        <f>F62+F64+F65+F66</f>
        <v>-207297</v>
      </c>
      <c r="G61" s="44">
        <f>G62+G64+G65+G66</f>
        <v>0</v>
      </c>
      <c r="H61" s="44">
        <f>E61+F61+G61</f>
        <v>1942773.9087262303</v>
      </c>
      <c r="I61" s="44">
        <f>I62+I64+I65+I66+I67</f>
        <v>-468220.25814267801</v>
      </c>
      <c r="J61" s="44">
        <f>J62+J64+J65+J66+J67</f>
        <v>22037</v>
      </c>
      <c r="K61" s="44">
        <f t="shared" ref="K61:L61" si="31">K62+K64+K65+K66+K67</f>
        <v>0</v>
      </c>
      <c r="L61" s="44">
        <f t="shared" si="31"/>
        <v>0</v>
      </c>
      <c r="M61" s="44">
        <f t="shared" si="20"/>
        <v>1496590.6505835522</v>
      </c>
      <c r="N61" s="44">
        <f>N62+N64+N65+N66+N63+N67</f>
        <v>1131.4593026150942</v>
      </c>
      <c r="O61" s="44">
        <f>O62+O64+O65+O66+O63+O67</f>
        <v>0</v>
      </c>
      <c r="P61" s="44">
        <f t="shared" si="10"/>
        <v>1497722.1098861673</v>
      </c>
    </row>
    <row r="62" spans="1:16" x14ac:dyDescent="0.2">
      <c r="A62" s="17" t="s">
        <v>5</v>
      </c>
      <c r="B62" s="39">
        <v>20</v>
      </c>
      <c r="C62" s="39">
        <v>50</v>
      </c>
      <c r="D62" s="15"/>
      <c r="E62" s="45">
        <f>1081345.90872623+244</f>
        <v>1081589.90872623</v>
      </c>
      <c r="F62" s="3">
        <v>18174</v>
      </c>
      <c r="H62" s="45">
        <f t="shared" ref="H62:H140" si="32">E62+F62+G62</f>
        <v>1099763.90872623</v>
      </c>
      <c r="I62" s="45">
        <v>-49033.258142678023</v>
      </c>
      <c r="J62" s="45"/>
      <c r="K62" s="45"/>
      <c r="L62" s="45"/>
      <c r="M62" s="45">
        <f t="shared" si="20"/>
        <v>1050730.650583552</v>
      </c>
      <c r="N62" s="60">
        <v>5465.713333114425</v>
      </c>
      <c r="P62" s="45">
        <f t="shared" si="10"/>
        <v>1056196.3639166665</v>
      </c>
    </row>
    <row r="63" spans="1:16" x14ac:dyDescent="0.2">
      <c r="A63" s="17" t="s">
        <v>83</v>
      </c>
      <c r="B63" s="110">
        <v>10</v>
      </c>
      <c r="C63" s="110">
        <v>50</v>
      </c>
      <c r="D63" s="15" t="s">
        <v>36</v>
      </c>
      <c r="E63" s="45"/>
      <c r="F63" s="3"/>
      <c r="H63" s="45"/>
      <c r="I63" s="45"/>
      <c r="J63" s="45"/>
      <c r="K63" s="45"/>
      <c r="L63" s="45"/>
      <c r="M63" s="45"/>
      <c r="N63" s="60">
        <v>17702.745969500669</v>
      </c>
      <c r="P63" s="45">
        <f t="shared" si="10"/>
        <v>17702.745969500669</v>
      </c>
    </row>
    <row r="64" spans="1:16" s="61" customFormat="1" x14ac:dyDescent="0.2">
      <c r="A64" s="65" t="s">
        <v>39</v>
      </c>
      <c r="B64" s="62">
        <v>10</v>
      </c>
      <c r="C64" s="62">
        <v>50</v>
      </c>
      <c r="D64" s="63" t="s">
        <v>36</v>
      </c>
      <c r="E64" s="45">
        <v>423823</v>
      </c>
      <c r="H64" s="45">
        <f t="shared" si="32"/>
        <v>423823</v>
      </c>
      <c r="I64" s="45"/>
      <c r="J64" s="45"/>
      <c r="K64" s="45"/>
      <c r="L64" s="45"/>
      <c r="M64" s="45">
        <f>H64+I64+J64+K64+L64</f>
        <v>423823</v>
      </c>
      <c r="P64" s="45">
        <f t="shared" si="10"/>
        <v>423823</v>
      </c>
    </row>
    <row r="65" spans="1:16" s="61" customFormat="1" hidden="1" x14ac:dyDescent="0.2">
      <c r="A65" s="65" t="s">
        <v>40</v>
      </c>
      <c r="B65" s="62">
        <v>20</v>
      </c>
      <c r="C65" s="62">
        <v>50</v>
      </c>
      <c r="D65" s="63"/>
      <c r="E65" s="45">
        <v>236026</v>
      </c>
      <c r="F65" s="76">
        <f>110706-124238</f>
        <v>-13532</v>
      </c>
      <c r="H65" s="45">
        <f t="shared" si="32"/>
        <v>222494</v>
      </c>
      <c r="I65" s="76">
        <v>-222494</v>
      </c>
      <c r="J65" s="45"/>
      <c r="K65" s="45"/>
      <c r="L65" s="45"/>
      <c r="M65" s="45">
        <f>H65+I65+J65+K65+L65</f>
        <v>0</v>
      </c>
      <c r="P65" s="45">
        <f>M65+N65+O65</f>
        <v>0</v>
      </c>
    </row>
    <row r="66" spans="1:16" s="61" customFormat="1" hidden="1" x14ac:dyDescent="0.2">
      <c r="A66" s="65" t="s">
        <v>40</v>
      </c>
      <c r="B66" s="62">
        <v>20</v>
      </c>
      <c r="C66" s="62">
        <v>50</v>
      </c>
      <c r="D66" s="63" t="s">
        <v>23</v>
      </c>
      <c r="E66" s="45">
        <v>408632</v>
      </c>
      <c r="F66" s="80">
        <v>-211939</v>
      </c>
      <c r="H66" s="45">
        <f>E66+F66+G66</f>
        <v>196693</v>
      </c>
      <c r="I66" s="76">
        <v>-196693</v>
      </c>
      <c r="J66" s="45"/>
      <c r="K66" s="45"/>
      <c r="L66" s="45"/>
      <c r="M66" s="45">
        <f t="shared" ref="M66:M67" si="33">H66+I66+J66+K66+L66</f>
        <v>0</v>
      </c>
      <c r="P66" s="45">
        <f t="shared" si="10"/>
        <v>0</v>
      </c>
    </row>
    <row r="67" spans="1:16" s="61" customFormat="1" x14ac:dyDescent="0.2">
      <c r="A67" s="89" t="s">
        <v>67</v>
      </c>
      <c r="B67" s="90">
        <v>20</v>
      </c>
      <c r="C67" s="90">
        <v>50</v>
      </c>
      <c r="D67" s="32" t="s">
        <v>68</v>
      </c>
      <c r="E67" s="45"/>
      <c r="F67" s="80"/>
      <c r="H67" s="45"/>
      <c r="I67" s="76"/>
      <c r="J67" s="76">
        <v>22037</v>
      </c>
      <c r="K67" s="45"/>
      <c r="L67" s="45"/>
      <c r="M67" s="45">
        <f t="shared" si="33"/>
        <v>22037</v>
      </c>
      <c r="N67" s="76">
        <v>-22037</v>
      </c>
      <c r="P67" s="45">
        <f>M67+N67+O67</f>
        <v>0</v>
      </c>
    </row>
    <row r="68" spans="1:16" s="61" customFormat="1" x14ac:dyDescent="0.2">
      <c r="A68" s="66"/>
      <c r="B68" s="67"/>
      <c r="C68" s="67"/>
      <c r="D68" s="68"/>
      <c r="E68" s="45"/>
      <c r="H68" s="45"/>
      <c r="I68" s="45"/>
      <c r="J68" s="45"/>
      <c r="K68" s="45"/>
      <c r="L68" s="45"/>
      <c r="M68" s="45">
        <f t="shared" si="20"/>
        <v>0</v>
      </c>
      <c r="P68" s="45">
        <f t="shared" si="10"/>
        <v>0</v>
      </c>
    </row>
    <row r="69" spans="1:16" s="61" customFormat="1" x14ac:dyDescent="0.2">
      <c r="A69" s="69" t="s">
        <v>13</v>
      </c>
      <c r="B69" s="70"/>
      <c r="C69" s="38"/>
      <c r="D69" s="38"/>
      <c r="E69" s="46">
        <f>E70+E71+E74</f>
        <v>1455723.260892764</v>
      </c>
      <c r="F69" s="46">
        <f>F70+F71+F74</f>
        <v>-22524.41252673087</v>
      </c>
      <c r="G69" s="46">
        <f t="shared" ref="G69" si="34">G70+G71+G74</f>
        <v>400375.963696033</v>
      </c>
      <c r="H69" s="46">
        <f t="shared" si="32"/>
        <v>1833574.812062066</v>
      </c>
      <c r="I69" s="46">
        <f t="shared" ref="I69:L69" si="35">I70+I71+I74+I75</f>
        <v>-252913</v>
      </c>
      <c r="J69" s="46">
        <f t="shared" si="35"/>
        <v>246158.88691619851</v>
      </c>
      <c r="K69" s="46">
        <f>K70+K71+K74+K75</f>
        <v>110833</v>
      </c>
      <c r="L69" s="46">
        <f t="shared" si="35"/>
        <v>0</v>
      </c>
      <c r="M69" s="46">
        <f t="shared" si="20"/>
        <v>1937653.6989782646</v>
      </c>
      <c r="N69" s="46">
        <f>N70+N71+N74+N73+N72</f>
        <v>-2013219.0671609135</v>
      </c>
      <c r="O69" s="46">
        <f>O70+O71+O74+O73+O72</f>
        <v>6118501.0301400786</v>
      </c>
      <c r="P69" s="46">
        <f t="shared" si="10"/>
        <v>6042935.6619574297</v>
      </c>
    </row>
    <row r="70" spans="1:16" s="61" customFormat="1" x14ac:dyDescent="0.2">
      <c r="A70" s="66" t="s">
        <v>8</v>
      </c>
      <c r="B70" s="67">
        <v>20</v>
      </c>
      <c r="C70" s="67">
        <v>55</v>
      </c>
      <c r="D70" s="68"/>
      <c r="E70" s="45">
        <v>1047207.341064029</v>
      </c>
      <c r="F70" s="80">
        <v>-20635.8220310754</v>
      </c>
      <c r="G70" s="80">
        <v>400375.963696033</v>
      </c>
      <c r="H70" s="45">
        <f t="shared" si="32"/>
        <v>1426947.4827289865</v>
      </c>
      <c r="I70" s="45"/>
      <c r="J70" s="45">
        <f>15971.8869161985+230187</f>
        <v>246158.88691619851</v>
      </c>
      <c r="K70" s="45"/>
      <c r="L70" s="45"/>
      <c r="M70" s="45">
        <f>H70+I70+J70+K70+L70</f>
        <v>1673106.3696451851</v>
      </c>
      <c r="N70" s="111">
        <v>-108809.28593079001</v>
      </c>
      <c r="P70" s="45">
        <f t="shared" si="10"/>
        <v>1564297.0837143951</v>
      </c>
    </row>
    <row r="71" spans="1:16" s="61" customFormat="1" x14ac:dyDescent="0.2">
      <c r="A71" s="66" t="s">
        <v>9</v>
      </c>
      <c r="B71" s="67">
        <v>20</v>
      </c>
      <c r="C71" s="67">
        <v>55</v>
      </c>
      <c r="D71" s="68" t="s">
        <v>10</v>
      </c>
      <c r="E71" s="45">
        <v>91655.919828735001</v>
      </c>
      <c r="F71" s="45">
        <v>-1888.59049565547</v>
      </c>
      <c r="H71" s="45">
        <f t="shared" si="32"/>
        <v>89767.329333079528</v>
      </c>
      <c r="I71" s="45"/>
      <c r="J71" s="45"/>
      <c r="K71" s="45"/>
      <c r="L71" s="45"/>
      <c r="M71" s="45">
        <f t="shared" si="20"/>
        <v>89767.329333079528</v>
      </c>
      <c r="P71" s="45">
        <f t="shared" si="10"/>
        <v>89767.329333079528</v>
      </c>
    </row>
    <row r="72" spans="1:16" x14ac:dyDescent="0.2">
      <c r="A72" s="84" t="s">
        <v>86</v>
      </c>
      <c r="B72" s="15">
        <v>20</v>
      </c>
      <c r="C72" s="15">
        <v>55</v>
      </c>
      <c r="D72" s="15" t="s">
        <v>87</v>
      </c>
      <c r="E72" s="45"/>
      <c r="F72" s="45"/>
      <c r="G72" s="45"/>
      <c r="H72" s="45"/>
      <c r="I72" s="45"/>
      <c r="J72" s="45"/>
      <c r="K72" s="45"/>
      <c r="L72" s="45"/>
      <c r="M72" s="45"/>
      <c r="N72" s="111">
        <v>-1800000.0000100001</v>
      </c>
      <c r="O72" s="111">
        <v>5900000</v>
      </c>
      <c r="P72" s="45">
        <f t="shared" si="10"/>
        <v>4099999.9999899999</v>
      </c>
    </row>
    <row r="73" spans="1:16" s="61" customFormat="1" x14ac:dyDescent="0.2">
      <c r="A73" s="17" t="s">
        <v>84</v>
      </c>
      <c r="B73" s="39">
        <v>20</v>
      </c>
      <c r="C73" s="39">
        <v>55</v>
      </c>
      <c r="D73" s="15" t="s">
        <v>85</v>
      </c>
      <c r="E73" s="45"/>
      <c r="F73" s="45"/>
      <c r="H73" s="45"/>
      <c r="I73" s="45"/>
      <c r="J73" s="45"/>
      <c r="K73" s="45"/>
      <c r="L73" s="45"/>
      <c r="M73" s="45"/>
      <c r="N73" s="60">
        <v>-43744.781220123492</v>
      </c>
      <c r="O73" s="60">
        <v>218501.03014007892</v>
      </c>
      <c r="P73" s="45">
        <f t="shared" si="10"/>
        <v>174756.24891995543</v>
      </c>
    </row>
    <row r="74" spans="1:16" s="61" customFormat="1" x14ac:dyDescent="0.2">
      <c r="A74" s="65" t="s">
        <v>41</v>
      </c>
      <c r="B74" s="62">
        <v>20</v>
      </c>
      <c r="C74" s="62">
        <v>55</v>
      </c>
      <c r="D74" s="68"/>
      <c r="E74" s="64">
        <v>316860</v>
      </c>
      <c r="H74" s="45">
        <f t="shared" si="32"/>
        <v>316860</v>
      </c>
      <c r="I74" s="76">
        <f>-284-27900-152020-113896+152020</f>
        <v>-142080</v>
      </c>
      <c r="J74" s="45"/>
      <c r="K74" s="45"/>
      <c r="L74" s="45"/>
      <c r="M74" s="45">
        <f t="shared" si="20"/>
        <v>174780</v>
      </c>
      <c r="N74" s="76">
        <f>-18040+15000-57625</f>
        <v>-60665</v>
      </c>
      <c r="P74" s="45">
        <f t="shared" si="10"/>
        <v>114115</v>
      </c>
    </row>
    <row r="75" spans="1:16" s="79" customFormat="1" hidden="1" x14ac:dyDescent="0.2">
      <c r="A75" s="98" t="s">
        <v>69</v>
      </c>
      <c r="B75" s="63">
        <v>20</v>
      </c>
      <c r="C75" s="63">
        <v>55</v>
      </c>
      <c r="D75" s="32" t="s">
        <v>66</v>
      </c>
      <c r="E75" s="99"/>
      <c r="H75" s="45"/>
      <c r="I75" s="78">
        <v>-110833</v>
      </c>
      <c r="J75" s="45"/>
      <c r="K75" s="45">
        <v>110833</v>
      </c>
      <c r="L75" s="45"/>
      <c r="M75" s="45">
        <f t="shared" si="20"/>
        <v>0</v>
      </c>
      <c r="P75" s="45">
        <f t="shared" si="10"/>
        <v>0</v>
      </c>
    </row>
    <row r="76" spans="1:16" x14ac:dyDescent="0.2">
      <c r="A76" s="17"/>
      <c r="B76" s="39"/>
      <c r="C76" s="39"/>
      <c r="D76" s="15"/>
      <c r="E76" s="45"/>
      <c r="H76" s="45"/>
      <c r="I76" s="45"/>
      <c r="J76" s="45"/>
      <c r="K76" s="45"/>
      <c r="L76" s="45"/>
      <c r="M76" s="45">
        <f t="shared" si="20"/>
        <v>0</v>
      </c>
      <c r="P76" s="45">
        <f t="shared" si="10"/>
        <v>0</v>
      </c>
    </row>
    <row r="77" spans="1:16" x14ac:dyDescent="0.2">
      <c r="A77" s="16" t="s">
        <v>12</v>
      </c>
      <c r="B77" s="37">
        <v>60</v>
      </c>
      <c r="C77" s="38">
        <v>610</v>
      </c>
      <c r="D77" s="40"/>
      <c r="E77" s="46">
        <v>82.663092965526104</v>
      </c>
      <c r="F77" s="46"/>
      <c r="G77" s="46"/>
      <c r="H77" s="46">
        <f t="shared" si="32"/>
        <v>82.663092965526104</v>
      </c>
      <c r="I77" s="46"/>
      <c r="J77" s="46"/>
      <c r="K77" s="46"/>
      <c r="L77" s="46"/>
      <c r="M77" s="46">
        <f t="shared" si="20"/>
        <v>82.663092965526104</v>
      </c>
      <c r="P77" s="46">
        <f t="shared" si="10"/>
        <v>82.663092965526104</v>
      </c>
    </row>
    <row r="78" spans="1:16" x14ac:dyDescent="0.2">
      <c r="A78" s="13"/>
      <c r="B78" s="37"/>
      <c r="C78" s="38"/>
      <c r="D78" s="40"/>
      <c r="E78" s="45"/>
      <c r="H78" s="45"/>
      <c r="I78" s="45"/>
      <c r="J78" s="45"/>
      <c r="K78" s="45"/>
      <c r="L78" s="45"/>
      <c r="M78" s="45">
        <f t="shared" si="20"/>
        <v>0</v>
      </c>
      <c r="P78" s="45">
        <f t="shared" ref="P78:P152" si="36">M78+N78+O78</f>
        <v>0</v>
      </c>
    </row>
    <row r="79" spans="1:16" ht="15.75" x14ac:dyDescent="0.25">
      <c r="A79" s="9" t="s">
        <v>3</v>
      </c>
      <c r="B79" s="41"/>
      <c r="C79" s="47"/>
      <c r="D79" s="36"/>
      <c r="E79" s="43">
        <f>E80+E84+E90</f>
        <v>989464.72804223956</v>
      </c>
      <c r="F79" s="43">
        <f t="shared" ref="F79:L79" si="37">F80+F84+F90</f>
        <v>-1813.3005648230974</v>
      </c>
      <c r="G79" s="43">
        <f t="shared" si="37"/>
        <v>175141.845458767</v>
      </c>
      <c r="H79" s="43">
        <f t="shared" si="32"/>
        <v>1162793.2729361835</v>
      </c>
      <c r="I79" s="43">
        <f t="shared" si="37"/>
        <v>-36509.917420099249</v>
      </c>
      <c r="J79" s="43">
        <f t="shared" si="37"/>
        <v>6986.7974194512417</v>
      </c>
      <c r="K79" s="43">
        <f t="shared" si="37"/>
        <v>14500</v>
      </c>
      <c r="L79" s="43">
        <f t="shared" si="37"/>
        <v>0</v>
      </c>
      <c r="M79" s="43">
        <f t="shared" si="20"/>
        <v>1147770.1529355354</v>
      </c>
      <c r="N79" s="43">
        <f>N80+N84+N90</f>
        <v>-56333.982557929645</v>
      </c>
      <c r="O79" s="43">
        <f>O80+O84+O90</f>
        <v>95581.845873317317</v>
      </c>
      <c r="P79" s="43">
        <f t="shared" si="36"/>
        <v>1187018.016250923</v>
      </c>
    </row>
    <row r="80" spans="1:16" x14ac:dyDescent="0.2">
      <c r="A80" s="16" t="s">
        <v>4</v>
      </c>
      <c r="B80" s="37"/>
      <c r="C80" s="38"/>
      <c r="D80" s="38"/>
      <c r="E80" s="44">
        <f>E81</f>
        <v>485501.88710678602</v>
      </c>
      <c r="F80" s="44">
        <f t="shared" ref="F80:L80" si="38">F81</f>
        <v>8158</v>
      </c>
      <c r="G80" s="44">
        <f t="shared" si="38"/>
        <v>0</v>
      </c>
      <c r="H80" s="44">
        <f t="shared" si="32"/>
        <v>493659.88710678602</v>
      </c>
      <c r="I80" s="44">
        <f t="shared" si="38"/>
        <v>-22009.917420099249</v>
      </c>
      <c r="J80" s="44">
        <f t="shared" si="38"/>
        <v>0</v>
      </c>
      <c r="K80" s="44">
        <f t="shared" si="38"/>
        <v>0</v>
      </c>
      <c r="L80" s="44">
        <f t="shared" si="38"/>
        <v>0</v>
      </c>
      <c r="M80" s="44">
        <f>H80+I80+J80+K80+L80</f>
        <v>471649.96968668676</v>
      </c>
      <c r="N80" s="44">
        <f>N81+N82</f>
        <v>10399.795879720372</v>
      </c>
      <c r="O80" s="44">
        <f>O81+O82</f>
        <v>0</v>
      </c>
      <c r="P80" s="44">
        <f t="shared" si="36"/>
        <v>482049.76556640712</v>
      </c>
    </row>
    <row r="81" spans="1:16" x14ac:dyDescent="0.2">
      <c r="A81" s="17" t="s">
        <v>5</v>
      </c>
      <c r="B81" s="39">
        <v>20</v>
      </c>
      <c r="C81" s="39">
        <v>50</v>
      </c>
      <c r="D81" s="15"/>
      <c r="E81" s="45">
        <f>485391.887106786+110</f>
        <v>485501.88710678602</v>
      </c>
      <c r="F81" s="45">
        <v>8158</v>
      </c>
      <c r="H81" s="45">
        <f t="shared" si="32"/>
        <v>493659.88710678602</v>
      </c>
      <c r="I81" s="45">
        <v>-22009.917420099249</v>
      </c>
      <c r="J81" s="45"/>
      <c r="K81" s="45"/>
      <c r="L81" s="45"/>
      <c r="M81" s="45">
        <f>H81+I81+J81+K81+L81</f>
        <v>471649.96968668676</v>
      </c>
      <c r="N81" s="60">
        <v>2453.4347432865397</v>
      </c>
      <c r="P81" s="45">
        <f t="shared" si="36"/>
        <v>474103.40442997328</v>
      </c>
    </row>
    <row r="82" spans="1:16" x14ac:dyDescent="0.2">
      <c r="A82" s="17" t="s">
        <v>83</v>
      </c>
      <c r="B82" s="110">
        <v>10</v>
      </c>
      <c r="C82" s="110">
        <v>50</v>
      </c>
      <c r="D82" s="15" t="s">
        <v>36</v>
      </c>
      <c r="E82" s="45"/>
      <c r="F82" s="45"/>
      <c r="H82" s="45"/>
      <c r="I82" s="45"/>
      <c r="J82" s="45"/>
      <c r="K82" s="45"/>
      <c r="L82" s="45"/>
      <c r="M82" s="45"/>
      <c r="N82" s="60">
        <v>7946.3611364338312</v>
      </c>
      <c r="P82" s="45">
        <f t="shared" si="36"/>
        <v>7946.3611364338312</v>
      </c>
    </row>
    <row r="83" spans="1:16" x14ac:dyDescent="0.2">
      <c r="A83" s="17"/>
      <c r="B83" s="39"/>
      <c r="C83" s="39"/>
      <c r="D83" s="15"/>
      <c r="E83" s="45"/>
      <c r="H83" s="45"/>
      <c r="I83" s="45"/>
      <c r="J83" s="45"/>
      <c r="K83" s="45"/>
      <c r="L83" s="45"/>
      <c r="M83" s="45">
        <f t="shared" si="20"/>
        <v>0</v>
      </c>
      <c r="P83" s="45">
        <f t="shared" si="36"/>
        <v>0</v>
      </c>
    </row>
    <row r="84" spans="1:16" x14ac:dyDescent="0.2">
      <c r="A84" s="21" t="s">
        <v>13</v>
      </c>
      <c r="B84" s="37"/>
      <c r="C84" s="38"/>
      <c r="D84" s="38"/>
      <c r="E84" s="46">
        <f>E85+E86</f>
        <v>503921.8409354536</v>
      </c>
      <c r="F84" s="46">
        <f t="shared" ref="F84:G84" si="39">F85+F86</f>
        <v>-9971.3005648230974</v>
      </c>
      <c r="G84" s="46">
        <f t="shared" si="39"/>
        <v>175141.845458767</v>
      </c>
      <c r="H84" s="46">
        <f t="shared" si="32"/>
        <v>669092.38582939748</v>
      </c>
      <c r="I84" s="46">
        <f>I85+I86+I87</f>
        <v>-14500</v>
      </c>
      <c r="J84" s="46">
        <f t="shared" ref="J84:L84" si="40">J85+J86+J87</f>
        <v>6986.7974194512417</v>
      </c>
      <c r="K84" s="46">
        <f t="shared" si="40"/>
        <v>14500</v>
      </c>
      <c r="L84" s="46">
        <f t="shared" si="40"/>
        <v>0</v>
      </c>
      <c r="M84" s="46">
        <f t="shared" si="20"/>
        <v>676079.18324884877</v>
      </c>
      <c r="N84" s="46">
        <f>N85+N86+N87+N88</f>
        <v>-66733.77843765002</v>
      </c>
      <c r="O84" s="46">
        <f>O85+O86+O87+O88</f>
        <v>95581.845873317317</v>
      </c>
      <c r="P84" s="46">
        <f t="shared" si="36"/>
        <v>704927.25068451604</v>
      </c>
    </row>
    <row r="85" spans="1:16" x14ac:dyDescent="0.2">
      <c r="A85" s="17" t="s">
        <v>8</v>
      </c>
      <c r="B85" s="39">
        <v>20</v>
      </c>
      <c r="C85" s="39">
        <v>55</v>
      </c>
      <c r="D85" s="15"/>
      <c r="E85" s="45">
        <v>458093.6310210863</v>
      </c>
      <c r="F85" s="45">
        <v>-9027.0053169953608</v>
      </c>
      <c r="G85" s="45">
        <v>175141.845458767</v>
      </c>
      <c r="H85" s="45">
        <f t="shared" si="32"/>
        <v>624208.47116285795</v>
      </c>
      <c r="I85" s="45"/>
      <c r="J85" s="45">
        <v>6986.7974194512417</v>
      </c>
      <c r="K85" s="45"/>
      <c r="L85" s="45"/>
      <c r="M85" s="45">
        <f t="shared" si="20"/>
        <v>631195.26858230925</v>
      </c>
      <c r="N85" s="111">
        <v>-47597.910136876802</v>
      </c>
      <c r="P85" s="45">
        <f t="shared" si="36"/>
        <v>583597.3584454325</v>
      </c>
    </row>
    <row r="86" spans="1:16" x14ac:dyDescent="0.2">
      <c r="A86" s="17" t="s">
        <v>9</v>
      </c>
      <c r="B86" s="39">
        <v>20</v>
      </c>
      <c r="C86" s="39">
        <v>55</v>
      </c>
      <c r="D86" s="15" t="s">
        <v>10</v>
      </c>
      <c r="E86" s="45">
        <v>45828.209914367297</v>
      </c>
      <c r="F86" s="45">
        <v>-944.29524782773603</v>
      </c>
      <c r="H86" s="45">
        <f t="shared" si="32"/>
        <v>44883.91466653956</v>
      </c>
      <c r="I86" s="45"/>
      <c r="J86" s="45"/>
      <c r="K86" s="45"/>
      <c r="L86" s="45"/>
      <c r="M86" s="45">
        <f t="shared" si="20"/>
        <v>44883.91466653956</v>
      </c>
      <c r="P86" s="45">
        <f t="shared" si="36"/>
        <v>44883.91466653956</v>
      </c>
    </row>
    <row r="87" spans="1:16" x14ac:dyDescent="0.2">
      <c r="A87" s="17" t="s">
        <v>8</v>
      </c>
      <c r="B87" s="39">
        <v>20</v>
      </c>
      <c r="C87" s="39">
        <v>55</v>
      </c>
      <c r="D87" s="15" t="s">
        <v>66</v>
      </c>
      <c r="E87" s="45"/>
      <c r="F87" s="45"/>
      <c r="H87" s="45"/>
      <c r="I87" s="45">
        <v>-14500</v>
      </c>
      <c r="J87" s="45"/>
      <c r="K87" s="45">
        <v>14500</v>
      </c>
      <c r="L87" s="45"/>
      <c r="M87" s="45"/>
      <c r="P87" s="45">
        <f t="shared" si="36"/>
        <v>0</v>
      </c>
    </row>
    <row r="88" spans="1:16" x14ac:dyDescent="0.2">
      <c r="A88" s="17" t="s">
        <v>84</v>
      </c>
      <c r="B88" s="39">
        <v>20</v>
      </c>
      <c r="C88" s="39">
        <v>55</v>
      </c>
      <c r="D88" s="15" t="s">
        <v>85</v>
      </c>
      <c r="E88" s="45"/>
      <c r="F88" s="45"/>
      <c r="H88" s="45"/>
      <c r="I88" s="45"/>
      <c r="J88" s="45"/>
      <c r="K88" s="45"/>
      <c r="L88" s="45"/>
      <c r="M88" s="45"/>
      <c r="N88" s="60">
        <v>-19135.868300773218</v>
      </c>
      <c r="O88" s="60">
        <v>95581.845873317317</v>
      </c>
      <c r="P88" s="45">
        <f t="shared" si="36"/>
        <v>76445.9775725441</v>
      </c>
    </row>
    <row r="89" spans="1:16" x14ac:dyDescent="0.2">
      <c r="A89" s="17"/>
      <c r="B89" s="39"/>
      <c r="C89" s="39"/>
      <c r="D89" s="15"/>
      <c r="E89" s="45"/>
      <c r="H89" s="45"/>
      <c r="I89" s="45"/>
      <c r="J89" s="45"/>
      <c r="K89" s="45"/>
      <c r="L89" s="45"/>
      <c r="M89" s="45">
        <f t="shared" si="20"/>
        <v>0</v>
      </c>
      <c r="P89" s="45">
        <f t="shared" si="36"/>
        <v>0</v>
      </c>
    </row>
    <row r="90" spans="1:16" x14ac:dyDescent="0.2">
      <c r="A90" s="16" t="s">
        <v>12</v>
      </c>
      <c r="B90" s="37">
        <v>60</v>
      </c>
      <c r="C90" s="38">
        <v>610</v>
      </c>
      <c r="D90" s="40"/>
      <c r="E90" s="46">
        <v>41</v>
      </c>
      <c r="F90" s="46"/>
      <c r="G90" s="46"/>
      <c r="H90" s="46">
        <f t="shared" si="32"/>
        <v>41</v>
      </c>
      <c r="I90" s="46"/>
      <c r="J90" s="46"/>
      <c r="K90" s="46"/>
      <c r="L90" s="46"/>
      <c r="M90" s="46">
        <f t="shared" si="20"/>
        <v>41</v>
      </c>
      <c r="P90" s="46">
        <f t="shared" si="36"/>
        <v>41</v>
      </c>
    </row>
    <row r="91" spans="1:16" x14ac:dyDescent="0.2">
      <c r="A91" s="13"/>
      <c r="B91" s="37"/>
      <c r="C91" s="38"/>
      <c r="D91" s="40"/>
      <c r="E91" s="46"/>
      <c r="H91" s="45"/>
      <c r="I91" s="45"/>
      <c r="J91" s="45"/>
      <c r="K91" s="45"/>
      <c r="L91" s="45"/>
      <c r="M91" s="45">
        <f t="shared" si="20"/>
        <v>0</v>
      </c>
      <c r="P91" s="45">
        <f t="shared" si="36"/>
        <v>0</v>
      </c>
    </row>
    <row r="92" spans="1:16" ht="15.75" x14ac:dyDescent="0.25">
      <c r="A92" s="9" t="s">
        <v>20</v>
      </c>
      <c r="B92" s="41"/>
      <c r="C92" s="47"/>
      <c r="D92" s="36"/>
      <c r="E92" s="43">
        <f>E93+E97+E101+E106+E111</f>
        <v>4660302.8367794706</v>
      </c>
      <c r="F92" s="43">
        <f>F93+F97+F101+F106+F111</f>
        <v>35241.143809858768</v>
      </c>
      <c r="G92" s="43">
        <f>G93+G97+G101+G106+G111</f>
        <v>448060.98363942798</v>
      </c>
      <c r="H92" s="43">
        <f t="shared" si="32"/>
        <v>5143604.9642287577</v>
      </c>
      <c r="I92" s="43">
        <f>I93+I97+I101+I106+I111</f>
        <v>-55164.119130406252</v>
      </c>
      <c r="J92" s="43">
        <f t="shared" ref="J92:L92" si="41">J93+J97+J101+J106+J111</f>
        <v>17874.14832845152</v>
      </c>
      <c r="K92" s="43">
        <f t="shared" si="41"/>
        <v>0</v>
      </c>
      <c r="L92" s="43">
        <f t="shared" si="41"/>
        <v>0</v>
      </c>
      <c r="M92" s="43">
        <f t="shared" si="20"/>
        <v>5106314.9934268026</v>
      </c>
      <c r="N92" s="43">
        <f>N93+N97+N101+N106+N111</f>
        <v>-144658.02729975191</v>
      </c>
      <c r="O92" s="43">
        <f>O93+O97+O101+O106+O111</f>
        <v>244524.63526286889</v>
      </c>
      <c r="P92" s="43">
        <f t="shared" si="36"/>
        <v>5206181.6013899203</v>
      </c>
    </row>
    <row r="93" spans="1:16" x14ac:dyDescent="0.2">
      <c r="A93" s="16" t="s">
        <v>6</v>
      </c>
      <c r="B93" s="37"/>
      <c r="C93" s="38"/>
      <c r="D93" s="38"/>
      <c r="E93" s="44">
        <f>E94</f>
        <v>155000</v>
      </c>
      <c r="F93" s="44">
        <f t="shared" ref="F93:L93" si="42">F94</f>
        <v>38832</v>
      </c>
      <c r="G93" s="44">
        <f t="shared" si="42"/>
        <v>0</v>
      </c>
      <c r="H93" s="44">
        <f t="shared" si="32"/>
        <v>193832</v>
      </c>
      <c r="I93" s="44">
        <f t="shared" si="42"/>
        <v>0</v>
      </c>
      <c r="J93" s="44">
        <f t="shared" si="42"/>
        <v>0</v>
      </c>
      <c r="K93" s="44">
        <f t="shared" si="42"/>
        <v>0</v>
      </c>
      <c r="L93" s="44">
        <f t="shared" si="42"/>
        <v>0</v>
      </c>
      <c r="M93" s="44">
        <f t="shared" si="20"/>
        <v>193832</v>
      </c>
      <c r="N93" s="44">
        <f>N94+N95</f>
        <v>11361</v>
      </c>
      <c r="O93" s="44">
        <f>O94+O95</f>
        <v>0</v>
      </c>
      <c r="P93" s="44">
        <f t="shared" si="36"/>
        <v>205193</v>
      </c>
    </row>
    <row r="94" spans="1:16" x14ac:dyDescent="0.2">
      <c r="A94" s="17" t="s">
        <v>26</v>
      </c>
      <c r="B94" s="39">
        <v>20</v>
      </c>
      <c r="C94" s="39">
        <v>45</v>
      </c>
      <c r="D94" s="15" t="s">
        <v>7</v>
      </c>
      <c r="E94" s="45">
        <v>155000</v>
      </c>
      <c r="F94" s="45">
        <v>38832</v>
      </c>
      <c r="H94" s="45">
        <f t="shared" si="32"/>
        <v>193832</v>
      </c>
      <c r="I94" s="45"/>
      <c r="J94" s="45"/>
      <c r="K94" s="45"/>
      <c r="L94" s="45"/>
      <c r="M94" s="45">
        <f t="shared" si="20"/>
        <v>193832</v>
      </c>
      <c r="P94" s="45">
        <f t="shared" si="36"/>
        <v>193832</v>
      </c>
    </row>
    <row r="95" spans="1:16" x14ac:dyDescent="0.2">
      <c r="A95" s="17" t="s">
        <v>6</v>
      </c>
      <c r="B95" s="39">
        <v>20</v>
      </c>
      <c r="C95" s="39">
        <v>45</v>
      </c>
      <c r="D95" s="15"/>
      <c r="E95" s="45"/>
      <c r="F95" s="45"/>
      <c r="H95" s="45"/>
      <c r="I95" s="45"/>
      <c r="J95" s="45"/>
      <c r="K95" s="45"/>
      <c r="L95" s="45"/>
      <c r="M95" s="45"/>
      <c r="N95" s="45">
        <v>11361</v>
      </c>
      <c r="P95" s="45">
        <f t="shared" si="36"/>
        <v>11361</v>
      </c>
    </row>
    <row r="96" spans="1:16" ht="15.75" x14ac:dyDescent="0.25">
      <c r="A96" s="9"/>
      <c r="B96" s="41"/>
      <c r="C96" s="47"/>
      <c r="D96" s="36"/>
      <c r="E96" s="43"/>
      <c r="H96" s="45"/>
      <c r="I96" s="45"/>
      <c r="J96" s="45"/>
      <c r="K96" s="45"/>
      <c r="L96" s="45"/>
      <c r="M96" s="45">
        <f t="shared" si="20"/>
        <v>0</v>
      </c>
      <c r="P96" s="45">
        <f t="shared" si="36"/>
        <v>0</v>
      </c>
    </row>
    <row r="97" spans="1:16" x14ac:dyDescent="0.2">
      <c r="A97" s="16" t="s">
        <v>4</v>
      </c>
      <c r="B97" s="37"/>
      <c r="C97" s="38"/>
      <c r="D97" s="38"/>
      <c r="E97" s="44">
        <f>E98</f>
        <v>1216827.2972770201</v>
      </c>
      <c r="F97" s="44">
        <f t="shared" ref="F97:L97" si="43">F98</f>
        <v>20447</v>
      </c>
      <c r="G97" s="44">
        <f t="shared" si="43"/>
        <v>0</v>
      </c>
      <c r="H97" s="44">
        <f t="shared" si="32"/>
        <v>1237274.2972770201</v>
      </c>
      <c r="I97" s="44">
        <f t="shared" si="43"/>
        <v>-55164.119130406252</v>
      </c>
      <c r="J97" s="44">
        <f t="shared" si="43"/>
        <v>0</v>
      </c>
      <c r="K97" s="44">
        <f t="shared" si="43"/>
        <v>0</v>
      </c>
      <c r="L97" s="44">
        <f t="shared" si="43"/>
        <v>0</v>
      </c>
      <c r="M97" s="44">
        <f t="shared" si="20"/>
        <v>1182110.1781466138</v>
      </c>
      <c r="N97" s="44">
        <f>N98+N99</f>
        <v>26065.321731598589</v>
      </c>
      <c r="O97" s="44">
        <f>O98+O99</f>
        <v>0</v>
      </c>
      <c r="P97" s="44">
        <f t="shared" si="36"/>
        <v>1208175.4998782123</v>
      </c>
    </row>
    <row r="98" spans="1:16" x14ac:dyDescent="0.2">
      <c r="A98" s="17" t="s">
        <v>5</v>
      </c>
      <c r="B98" s="39">
        <v>20</v>
      </c>
      <c r="C98" s="39">
        <v>50</v>
      </c>
      <c r="D98" s="15"/>
      <c r="E98" s="45">
        <f>1216552.29727702+275</f>
        <v>1216827.2972770201</v>
      </c>
      <c r="F98" s="45">
        <v>20447</v>
      </c>
      <c r="H98" s="45">
        <f t="shared" si="32"/>
        <v>1237274.2972770201</v>
      </c>
      <c r="I98" s="45">
        <v>-55164.119130406252</v>
      </c>
      <c r="J98" s="45"/>
      <c r="K98" s="45"/>
      <c r="L98" s="45"/>
      <c r="M98" s="45">
        <f t="shared" si="20"/>
        <v>1182110.1781466138</v>
      </c>
      <c r="N98" s="60">
        <v>6149.1174125780144</v>
      </c>
      <c r="P98" s="45">
        <f t="shared" si="36"/>
        <v>1188259.2955591918</v>
      </c>
    </row>
    <row r="99" spans="1:16" x14ac:dyDescent="0.2">
      <c r="A99" s="17" t="s">
        <v>83</v>
      </c>
      <c r="B99" s="110">
        <v>10</v>
      </c>
      <c r="C99" s="110">
        <v>50</v>
      </c>
      <c r="D99" s="15" t="s">
        <v>36</v>
      </c>
      <c r="E99" s="45"/>
      <c r="F99" s="45"/>
      <c r="H99" s="45"/>
      <c r="I99" s="45"/>
      <c r="J99" s="45"/>
      <c r="K99" s="45"/>
      <c r="L99" s="45"/>
      <c r="M99" s="45"/>
      <c r="N99" s="60">
        <v>19916.204319020577</v>
      </c>
      <c r="P99" s="45">
        <f t="shared" si="36"/>
        <v>19916.204319020577</v>
      </c>
    </row>
    <row r="100" spans="1:16" x14ac:dyDescent="0.2">
      <c r="A100" s="17"/>
      <c r="B100" s="39"/>
      <c r="C100" s="39"/>
      <c r="D100" s="15"/>
      <c r="E100" s="45"/>
      <c r="H100" s="45"/>
      <c r="I100" s="45"/>
      <c r="J100" s="45"/>
      <c r="K100" s="45"/>
      <c r="L100" s="45"/>
      <c r="M100" s="45">
        <f t="shared" si="20"/>
        <v>0</v>
      </c>
      <c r="P100" s="45">
        <f t="shared" si="36"/>
        <v>0</v>
      </c>
    </row>
    <row r="101" spans="1:16" x14ac:dyDescent="0.2">
      <c r="A101" s="21" t="s">
        <v>13</v>
      </c>
      <c r="B101" s="37"/>
      <c r="C101" s="38"/>
      <c r="D101" s="38"/>
      <c r="E101" s="44">
        <f>E102+E103</f>
        <v>1217758.5395024503</v>
      </c>
      <c r="F101" s="44">
        <f t="shared" ref="F101:L101" si="44">F102+F103</f>
        <v>-24037.856190141236</v>
      </c>
      <c r="G101" s="44">
        <f t="shared" si="44"/>
        <v>448060.98363942798</v>
      </c>
      <c r="H101" s="44">
        <f t="shared" si="32"/>
        <v>1641781.6669517369</v>
      </c>
      <c r="I101" s="44">
        <f t="shared" si="44"/>
        <v>0</v>
      </c>
      <c r="J101" s="44">
        <f t="shared" si="44"/>
        <v>17874.14832845152</v>
      </c>
      <c r="K101" s="44">
        <f t="shared" si="44"/>
        <v>0</v>
      </c>
      <c r="L101" s="44">
        <f t="shared" si="44"/>
        <v>0</v>
      </c>
      <c r="M101" s="44">
        <f t="shared" si="20"/>
        <v>1659655.8152801883</v>
      </c>
      <c r="N101" s="44">
        <f>N102+N103+N104</f>
        <v>-182084.3490213505</v>
      </c>
      <c r="O101" s="44">
        <f>O102+O103+O104</f>
        <v>244524.63526286889</v>
      </c>
      <c r="P101" s="44">
        <f t="shared" si="36"/>
        <v>1722096.1015217067</v>
      </c>
    </row>
    <row r="102" spans="1:16" x14ac:dyDescent="0.2">
      <c r="A102" s="17" t="s">
        <v>8</v>
      </c>
      <c r="B102" s="39">
        <v>20</v>
      </c>
      <c r="C102" s="39">
        <v>55</v>
      </c>
      <c r="D102" s="15"/>
      <c r="E102" s="45">
        <v>1171930.3295880831</v>
      </c>
      <c r="F102" s="45">
        <v>-23093.560942313499</v>
      </c>
      <c r="G102" s="45">
        <v>448060.98363942798</v>
      </c>
      <c r="H102" s="45">
        <f t="shared" si="32"/>
        <v>1596897.7522851976</v>
      </c>
      <c r="I102" s="45"/>
      <c r="J102" s="45">
        <v>17874.14832845152</v>
      </c>
      <c r="K102" s="45"/>
      <c r="L102" s="45"/>
      <c r="M102" s="45">
        <f t="shared" si="20"/>
        <v>1614771.900613649</v>
      </c>
      <c r="N102" s="60">
        <v>-133129.53784427201</v>
      </c>
      <c r="P102" s="45">
        <f t="shared" si="36"/>
        <v>1481642.362769377</v>
      </c>
    </row>
    <row r="103" spans="1:16" x14ac:dyDescent="0.2">
      <c r="A103" s="17" t="s">
        <v>9</v>
      </c>
      <c r="B103" s="39">
        <v>20</v>
      </c>
      <c r="C103" s="39">
        <v>55</v>
      </c>
      <c r="D103" s="15" t="s">
        <v>10</v>
      </c>
      <c r="E103" s="45">
        <v>45828.209914367297</v>
      </c>
      <c r="F103" s="45">
        <v>-944.29524782773603</v>
      </c>
      <c r="H103" s="45">
        <f t="shared" si="32"/>
        <v>44883.91466653956</v>
      </c>
      <c r="I103" s="45"/>
      <c r="J103" s="45"/>
      <c r="K103" s="45"/>
      <c r="L103" s="45"/>
      <c r="M103" s="45">
        <f t="shared" si="20"/>
        <v>44883.91466653956</v>
      </c>
      <c r="P103" s="45">
        <f t="shared" si="36"/>
        <v>44883.91466653956</v>
      </c>
    </row>
    <row r="104" spans="1:16" x14ac:dyDescent="0.2">
      <c r="A104" s="17" t="s">
        <v>84</v>
      </c>
      <c r="B104" s="39">
        <v>20</v>
      </c>
      <c r="C104" s="39">
        <v>55</v>
      </c>
      <c r="D104" s="15" t="s">
        <v>85</v>
      </c>
      <c r="E104" s="45"/>
      <c r="F104" s="45"/>
      <c r="H104" s="45"/>
      <c r="I104" s="45"/>
      <c r="J104" s="45"/>
      <c r="K104" s="45"/>
      <c r="L104" s="45"/>
      <c r="M104" s="45"/>
      <c r="N104" s="60">
        <v>-48954.811177078474</v>
      </c>
      <c r="O104" s="60">
        <v>244524.63526286889</v>
      </c>
      <c r="P104" s="45">
        <f t="shared" si="36"/>
        <v>195569.82408579043</v>
      </c>
    </row>
    <row r="105" spans="1:16" x14ac:dyDescent="0.2">
      <c r="A105" s="40"/>
      <c r="B105" s="41"/>
      <c r="C105" s="41"/>
      <c r="D105" s="40"/>
      <c r="E105" s="45"/>
      <c r="H105" s="45"/>
      <c r="I105" s="45"/>
      <c r="J105" s="45"/>
      <c r="K105" s="45"/>
      <c r="L105" s="45"/>
      <c r="M105" s="45">
        <f t="shared" si="20"/>
        <v>0</v>
      </c>
      <c r="P105" s="45">
        <f t="shared" si="36"/>
        <v>0</v>
      </c>
    </row>
    <row r="106" spans="1:16" x14ac:dyDescent="0.2">
      <c r="A106" s="20" t="s">
        <v>27</v>
      </c>
      <c r="B106" s="48"/>
      <c r="C106" s="48"/>
      <c r="D106" s="49"/>
      <c r="E106" s="44">
        <f>E107+E108</f>
        <v>2070676</v>
      </c>
      <c r="F106" s="44">
        <f t="shared" ref="F106:L106" si="45">F107+F108</f>
        <v>0</v>
      </c>
      <c r="G106" s="44">
        <f t="shared" si="45"/>
        <v>0</v>
      </c>
      <c r="H106" s="44">
        <f t="shared" si="32"/>
        <v>2070676</v>
      </c>
      <c r="I106" s="44">
        <f t="shared" si="45"/>
        <v>0</v>
      </c>
      <c r="J106" s="44">
        <f t="shared" si="45"/>
        <v>0</v>
      </c>
      <c r="K106" s="44">
        <f t="shared" si="45"/>
        <v>0</v>
      </c>
      <c r="L106" s="44">
        <f t="shared" si="45"/>
        <v>0</v>
      </c>
      <c r="M106" s="44">
        <f t="shared" si="20"/>
        <v>2070676</v>
      </c>
      <c r="N106" s="44">
        <f>N107+N108+N109</f>
        <v>-9.9999888334423304E-6</v>
      </c>
      <c r="O106" s="44">
        <f>O107+O108+O109</f>
        <v>0</v>
      </c>
      <c r="P106" s="44">
        <f t="shared" si="36"/>
        <v>2070675.9999899999</v>
      </c>
    </row>
    <row r="107" spans="1:16" x14ac:dyDescent="0.2">
      <c r="A107" s="17" t="s">
        <v>4</v>
      </c>
      <c r="B107" s="37">
        <v>40</v>
      </c>
      <c r="C107" s="39">
        <v>50</v>
      </c>
      <c r="D107" s="50"/>
      <c r="E107" s="45">
        <v>435771</v>
      </c>
      <c r="H107" s="45">
        <f t="shared" si="32"/>
        <v>435771</v>
      </c>
      <c r="I107" s="45"/>
      <c r="J107" s="45"/>
      <c r="K107" s="45"/>
      <c r="L107" s="45"/>
      <c r="M107" s="45">
        <f t="shared" si="20"/>
        <v>435771</v>
      </c>
      <c r="P107" s="45">
        <f t="shared" si="36"/>
        <v>435771</v>
      </c>
    </row>
    <row r="108" spans="1:16" x14ac:dyDescent="0.2">
      <c r="A108" s="17" t="s">
        <v>8</v>
      </c>
      <c r="B108" s="37">
        <v>40</v>
      </c>
      <c r="C108" s="39">
        <v>55</v>
      </c>
      <c r="D108" s="50"/>
      <c r="E108" s="45">
        <v>1634905</v>
      </c>
      <c r="H108" s="45">
        <f t="shared" si="32"/>
        <v>1634905</v>
      </c>
      <c r="I108" s="45"/>
      <c r="J108" s="45"/>
      <c r="K108" s="45"/>
      <c r="L108" s="45"/>
      <c r="M108" s="45">
        <f t="shared" ref="M108:M158" si="46">H108+I108+J108+K108+L108</f>
        <v>1634905</v>
      </c>
      <c r="N108" s="60">
        <v>-131091.00000999999</v>
      </c>
      <c r="P108" s="45">
        <f t="shared" si="36"/>
        <v>1503813.9999899999</v>
      </c>
    </row>
    <row r="109" spans="1:16" x14ac:dyDescent="0.2">
      <c r="A109" s="17" t="s">
        <v>6</v>
      </c>
      <c r="B109" s="37">
        <v>40</v>
      </c>
      <c r="C109" s="39">
        <v>45</v>
      </c>
      <c r="D109" s="50"/>
      <c r="E109" s="45"/>
      <c r="H109" s="45"/>
      <c r="I109" s="45"/>
      <c r="J109" s="45"/>
      <c r="K109" s="45"/>
      <c r="L109" s="45"/>
      <c r="M109" s="45"/>
      <c r="N109" s="60">
        <v>131091</v>
      </c>
      <c r="P109" s="45">
        <f t="shared" si="36"/>
        <v>131091</v>
      </c>
    </row>
    <row r="110" spans="1:16" x14ac:dyDescent="0.2">
      <c r="A110" s="19"/>
      <c r="B110" s="51"/>
      <c r="C110" s="51"/>
      <c r="D110" s="52"/>
      <c r="E110" s="45"/>
      <c r="H110" s="45"/>
      <c r="I110" s="45"/>
      <c r="J110" s="45"/>
      <c r="K110" s="45"/>
      <c r="L110" s="45"/>
      <c r="M110" s="45">
        <f t="shared" si="46"/>
        <v>0</v>
      </c>
      <c r="P110" s="45">
        <f t="shared" si="36"/>
        <v>0</v>
      </c>
    </row>
    <row r="111" spans="1:16" x14ac:dyDescent="0.2">
      <c r="A111" s="16" t="s">
        <v>12</v>
      </c>
      <c r="B111" s="37">
        <v>60</v>
      </c>
      <c r="C111" s="38">
        <v>610</v>
      </c>
      <c r="D111" s="40"/>
      <c r="E111" s="44">
        <v>41</v>
      </c>
      <c r="F111" s="44"/>
      <c r="G111" s="44"/>
      <c r="H111" s="44">
        <f t="shared" si="32"/>
        <v>41</v>
      </c>
      <c r="I111" s="44"/>
      <c r="J111" s="44"/>
      <c r="K111" s="44"/>
      <c r="L111" s="44"/>
      <c r="M111" s="44">
        <f t="shared" si="46"/>
        <v>41</v>
      </c>
      <c r="P111" s="44">
        <f t="shared" si="36"/>
        <v>41</v>
      </c>
    </row>
    <row r="112" spans="1:16" x14ac:dyDescent="0.2">
      <c r="A112" s="13"/>
      <c r="B112" s="37"/>
      <c r="C112" s="38"/>
      <c r="D112" s="40"/>
      <c r="H112" s="45"/>
      <c r="I112" s="45"/>
      <c r="J112" s="45"/>
      <c r="K112" s="45"/>
      <c r="L112" s="45"/>
      <c r="M112" s="45">
        <f t="shared" si="46"/>
        <v>0</v>
      </c>
      <c r="P112" s="45">
        <f t="shared" si="36"/>
        <v>0</v>
      </c>
    </row>
    <row r="113" spans="1:16" ht="15.75" x14ac:dyDescent="0.25">
      <c r="A113" s="9" t="s">
        <v>21</v>
      </c>
      <c r="B113" s="41"/>
      <c r="C113" s="47"/>
      <c r="D113" s="36"/>
      <c r="E113" s="43">
        <f>E114+E119+E123+E128</f>
        <v>7914538.0021680202</v>
      </c>
      <c r="F113" s="43">
        <f t="shared" ref="F113:L113" si="47">F114+F119+F123+F128</f>
        <v>-1770.0336376238411</v>
      </c>
      <c r="G113" s="43">
        <f t="shared" si="47"/>
        <v>746491.20452521299</v>
      </c>
      <c r="H113" s="43">
        <f t="shared" si="32"/>
        <v>8659259.1730556097</v>
      </c>
      <c r="I113" s="43">
        <f t="shared" si="47"/>
        <v>-122114.86352821396</v>
      </c>
      <c r="J113" s="43">
        <f t="shared" si="47"/>
        <v>29779.193017854217</v>
      </c>
      <c r="K113" s="43">
        <f t="shared" si="47"/>
        <v>0</v>
      </c>
      <c r="L113" s="43">
        <f t="shared" si="47"/>
        <v>0</v>
      </c>
      <c r="M113" s="43">
        <f t="shared" si="46"/>
        <v>8566923.5025452487</v>
      </c>
      <c r="N113" s="43">
        <f>N114+N119+N123+N128</f>
        <v>-226733.4490855998</v>
      </c>
      <c r="O113" s="43">
        <f>O114+O119+O123+O128</f>
        <v>407389.83347936609</v>
      </c>
      <c r="P113" s="43">
        <f t="shared" si="36"/>
        <v>8747579.8869390152</v>
      </c>
    </row>
    <row r="114" spans="1:16" x14ac:dyDescent="0.2">
      <c r="A114" s="16" t="s">
        <v>6</v>
      </c>
      <c r="B114" s="37"/>
      <c r="C114" s="38"/>
      <c r="D114" s="38"/>
      <c r="E114" s="44">
        <f>E115+E116+E117</f>
        <v>2850550.7749457201</v>
      </c>
      <c r="F114" s="46">
        <f t="shared" ref="F114:L114" si="48">F115+F116+F117</f>
        <v>0</v>
      </c>
      <c r="G114" s="46">
        <f t="shared" si="48"/>
        <v>0</v>
      </c>
      <c r="H114" s="46">
        <f t="shared" si="32"/>
        <v>2850550.7749457201</v>
      </c>
      <c r="I114" s="46">
        <f t="shared" si="48"/>
        <v>0</v>
      </c>
      <c r="J114" s="46">
        <f t="shared" si="48"/>
        <v>0</v>
      </c>
      <c r="K114" s="46">
        <f t="shared" si="48"/>
        <v>0</v>
      </c>
      <c r="L114" s="46">
        <f t="shared" si="48"/>
        <v>0</v>
      </c>
      <c r="M114" s="46">
        <f t="shared" si="46"/>
        <v>2850550.7749457201</v>
      </c>
      <c r="N114" s="44">
        <f>N115+N116+N117</f>
        <v>0</v>
      </c>
      <c r="O114" s="44">
        <f>O115+O116+O117</f>
        <v>0</v>
      </c>
      <c r="P114" s="46">
        <f t="shared" si="36"/>
        <v>2850550.7749457201</v>
      </c>
    </row>
    <row r="115" spans="1:16" x14ac:dyDescent="0.2">
      <c r="A115" s="17" t="s">
        <v>25</v>
      </c>
      <c r="B115" s="39">
        <v>20</v>
      </c>
      <c r="C115" s="39">
        <v>45</v>
      </c>
      <c r="D115" s="15"/>
      <c r="E115" s="45">
        <v>2779550.7749457201</v>
      </c>
      <c r="H115" s="45">
        <f t="shared" si="32"/>
        <v>2779550.7749457201</v>
      </c>
      <c r="I115" s="45"/>
      <c r="J115" s="45"/>
      <c r="K115" s="45"/>
      <c r="L115" s="45"/>
      <c r="M115" s="45">
        <f t="shared" si="46"/>
        <v>2779550.7749457201</v>
      </c>
      <c r="P115" s="45">
        <f t="shared" si="36"/>
        <v>2779550.7749457201</v>
      </c>
    </row>
    <row r="116" spans="1:16" x14ac:dyDescent="0.2">
      <c r="A116" s="17" t="s">
        <v>28</v>
      </c>
      <c r="B116" s="39">
        <v>20</v>
      </c>
      <c r="C116" s="39">
        <v>45</v>
      </c>
      <c r="D116" s="15" t="s">
        <v>29</v>
      </c>
      <c r="E116" s="45">
        <v>51000</v>
      </c>
      <c r="H116" s="45">
        <f t="shared" si="32"/>
        <v>51000</v>
      </c>
      <c r="I116" s="45"/>
      <c r="J116" s="45"/>
      <c r="K116" s="45"/>
      <c r="L116" s="45"/>
      <c r="M116" s="45">
        <f t="shared" si="46"/>
        <v>51000</v>
      </c>
      <c r="P116" s="45">
        <f t="shared" si="36"/>
        <v>51000</v>
      </c>
    </row>
    <row r="117" spans="1:16" x14ac:dyDescent="0.2">
      <c r="A117" s="17" t="s">
        <v>28</v>
      </c>
      <c r="B117" s="39">
        <v>20</v>
      </c>
      <c r="C117" s="39">
        <v>45</v>
      </c>
      <c r="D117" s="15" t="s">
        <v>30</v>
      </c>
      <c r="E117" s="45">
        <v>20000</v>
      </c>
      <c r="H117" s="45">
        <f t="shared" si="32"/>
        <v>20000</v>
      </c>
      <c r="I117" s="45"/>
      <c r="J117" s="45"/>
      <c r="K117" s="45"/>
      <c r="L117" s="45"/>
      <c r="M117" s="45">
        <f t="shared" si="46"/>
        <v>20000</v>
      </c>
      <c r="P117" s="45">
        <f t="shared" si="36"/>
        <v>20000</v>
      </c>
    </row>
    <row r="118" spans="1:16" x14ac:dyDescent="0.2">
      <c r="A118" s="40"/>
      <c r="B118" s="41"/>
      <c r="C118" s="41"/>
      <c r="D118" s="40"/>
      <c r="E118" s="45"/>
      <c r="H118" s="45"/>
      <c r="I118" s="45"/>
      <c r="J118" s="45"/>
      <c r="K118" s="45"/>
      <c r="L118" s="45"/>
      <c r="M118" s="45">
        <f t="shared" si="46"/>
        <v>0</v>
      </c>
      <c r="P118" s="45">
        <f t="shared" si="36"/>
        <v>0</v>
      </c>
    </row>
    <row r="119" spans="1:16" x14ac:dyDescent="0.2">
      <c r="A119" s="16" t="s">
        <v>4</v>
      </c>
      <c r="B119" s="37"/>
      <c r="C119" s="38"/>
      <c r="D119" s="38"/>
      <c r="E119" s="46">
        <f>E120</f>
        <v>2693646.9371212702</v>
      </c>
      <c r="F119" s="46">
        <f t="shared" ref="F119:L119" si="49">F120</f>
        <v>45262</v>
      </c>
      <c r="G119" s="46">
        <f t="shared" si="49"/>
        <v>0</v>
      </c>
      <c r="H119" s="46">
        <f t="shared" si="32"/>
        <v>2738908.9371212702</v>
      </c>
      <c r="I119" s="46">
        <f t="shared" si="49"/>
        <v>-122114.86352821396</v>
      </c>
      <c r="J119" s="46">
        <f t="shared" si="49"/>
        <v>0</v>
      </c>
      <c r="K119" s="46">
        <f t="shared" si="49"/>
        <v>0</v>
      </c>
      <c r="L119" s="46">
        <f t="shared" si="49"/>
        <v>0</v>
      </c>
      <c r="M119" s="46">
        <f t="shared" si="46"/>
        <v>2616794.0735930563</v>
      </c>
      <c r="N119" s="46">
        <f>N120+N121</f>
        <v>57699.882754381048</v>
      </c>
      <c r="O119" s="46">
        <f>O120+O121</f>
        <v>0</v>
      </c>
      <c r="P119" s="46">
        <f t="shared" si="36"/>
        <v>2674493.9563474376</v>
      </c>
    </row>
    <row r="120" spans="1:16" x14ac:dyDescent="0.2">
      <c r="A120" s="17" t="s">
        <v>5</v>
      </c>
      <c r="B120" s="39">
        <v>20</v>
      </c>
      <c r="C120" s="39">
        <v>50</v>
      </c>
      <c r="D120" s="15"/>
      <c r="E120" s="45">
        <f>2693038.93712127+608</f>
        <v>2693646.9371212702</v>
      </c>
      <c r="F120" s="45">
        <v>45262</v>
      </c>
      <c r="H120" s="45">
        <f t="shared" si="32"/>
        <v>2738908.9371212702</v>
      </c>
      <c r="I120" s="45">
        <v>-122114.86352821396</v>
      </c>
      <c r="J120" s="45"/>
      <c r="K120" s="45"/>
      <c r="L120" s="45"/>
      <c r="M120" s="45">
        <f t="shared" si="46"/>
        <v>2616794.0735930563</v>
      </c>
      <c r="N120" s="60">
        <v>13612.084186114294</v>
      </c>
      <c r="P120" s="45">
        <f t="shared" si="36"/>
        <v>2630406.1577791707</v>
      </c>
    </row>
    <row r="121" spans="1:16" x14ac:dyDescent="0.2">
      <c r="A121" s="17" t="s">
        <v>83</v>
      </c>
      <c r="B121" s="110">
        <v>10</v>
      </c>
      <c r="C121" s="110">
        <v>50</v>
      </c>
      <c r="D121" s="15" t="s">
        <v>36</v>
      </c>
      <c r="E121" s="45"/>
      <c r="F121" s="45"/>
      <c r="H121" s="45"/>
      <c r="I121" s="45"/>
      <c r="J121" s="45"/>
      <c r="K121" s="45"/>
      <c r="L121" s="45"/>
      <c r="M121" s="45"/>
      <c r="N121" s="60">
        <v>44087.798568266749</v>
      </c>
      <c r="P121" s="45">
        <f t="shared" si="36"/>
        <v>44087.798568266749</v>
      </c>
    </row>
    <row r="122" spans="1:16" x14ac:dyDescent="0.2">
      <c r="A122" s="17"/>
      <c r="B122" s="39"/>
      <c r="C122" s="39"/>
      <c r="D122" s="15"/>
      <c r="E122" s="45"/>
      <c r="H122" s="45"/>
      <c r="I122" s="45"/>
      <c r="J122" s="45"/>
      <c r="K122" s="45"/>
      <c r="L122" s="45"/>
      <c r="M122" s="45">
        <f t="shared" si="46"/>
        <v>0</v>
      </c>
      <c r="P122" s="45">
        <f t="shared" si="36"/>
        <v>0</v>
      </c>
    </row>
    <row r="123" spans="1:16" x14ac:dyDescent="0.2">
      <c r="A123" s="21" t="s">
        <v>13</v>
      </c>
      <c r="B123" s="37"/>
      <c r="C123" s="38"/>
      <c r="D123" s="38"/>
      <c r="E123" s="46">
        <f>E124+E125</f>
        <v>2367778.337539399</v>
      </c>
      <c r="F123" s="46">
        <f t="shared" ref="F123:L123" si="50">F124+F125</f>
        <v>-47032.033637623841</v>
      </c>
      <c r="G123" s="46">
        <f t="shared" si="50"/>
        <v>746491.20452521299</v>
      </c>
      <c r="H123" s="46">
        <f t="shared" si="32"/>
        <v>3067237.5084269885</v>
      </c>
      <c r="I123" s="46">
        <f t="shared" si="50"/>
        <v>0</v>
      </c>
      <c r="J123" s="46">
        <f t="shared" si="50"/>
        <v>29779.193017854217</v>
      </c>
      <c r="K123" s="46">
        <f t="shared" si="50"/>
        <v>0</v>
      </c>
      <c r="L123" s="46">
        <f t="shared" si="50"/>
        <v>0</v>
      </c>
      <c r="M123" s="46">
        <f t="shared" si="46"/>
        <v>3097016.7014448429</v>
      </c>
      <c r="N123" s="46">
        <f>N124+N125+N126</f>
        <v>-284433.33183998085</v>
      </c>
      <c r="O123" s="46">
        <f>O124+O125+O126</f>
        <v>407389.83347936609</v>
      </c>
      <c r="P123" s="46">
        <f t="shared" si="36"/>
        <v>3219973.2030842281</v>
      </c>
    </row>
    <row r="124" spans="1:16" x14ac:dyDescent="0.2">
      <c r="A124" s="17" t="s">
        <v>8</v>
      </c>
      <c r="B124" s="39">
        <v>20</v>
      </c>
      <c r="C124" s="39">
        <v>55</v>
      </c>
      <c r="D124" s="15"/>
      <c r="E124" s="45">
        <v>1952492.436683072</v>
      </c>
      <c r="F124" s="3">
        <v>-38474.9861159012</v>
      </c>
      <c r="G124" s="45">
        <v>746491.20452521299</v>
      </c>
      <c r="H124" s="45">
        <f t="shared" si="32"/>
        <v>2660508.6550923837</v>
      </c>
      <c r="I124" s="45"/>
      <c r="J124" s="45">
        <v>29779.193017854217</v>
      </c>
      <c r="K124" s="45"/>
      <c r="L124" s="45"/>
      <c r="M124" s="45">
        <f t="shared" si="46"/>
        <v>2690287.8481102381</v>
      </c>
      <c r="N124" s="60">
        <v>-202872.255787239</v>
      </c>
      <c r="P124" s="45">
        <f t="shared" si="36"/>
        <v>2487415.5923229991</v>
      </c>
    </row>
    <row r="125" spans="1:16" x14ac:dyDescent="0.2">
      <c r="A125" s="17" t="s">
        <v>9</v>
      </c>
      <c r="B125" s="39">
        <v>20</v>
      </c>
      <c r="C125" s="39">
        <v>55</v>
      </c>
      <c r="D125" s="15" t="s">
        <v>10</v>
      </c>
      <c r="E125" s="45">
        <v>415285.90085632697</v>
      </c>
      <c r="F125" s="45">
        <v>-8557.0475217226394</v>
      </c>
      <c r="H125" s="45">
        <f t="shared" si="32"/>
        <v>406728.85333460436</v>
      </c>
      <c r="I125" s="45"/>
      <c r="J125" s="45"/>
      <c r="K125" s="45"/>
      <c r="L125" s="45"/>
      <c r="M125" s="45">
        <f t="shared" si="46"/>
        <v>406728.85333460436</v>
      </c>
      <c r="P125" s="45">
        <f t="shared" si="36"/>
        <v>406728.85333460436</v>
      </c>
    </row>
    <row r="126" spans="1:16" x14ac:dyDescent="0.2">
      <c r="A126" s="17" t="s">
        <v>84</v>
      </c>
      <c r="B126" s="39">
        <v>20</v>
      </c>
      <c r="C126" s="39">
        <v>55</v>
      </c>
      <c r="D126" s="15" t="s">
        <v>85</v>
      </c>
      <c r="E126" s="45"/>
      <c r="F126" s="45"/>
      <c r="H126" s="45"/>
      <c r="I126" s="45"/>
      <c r="J126" s="45"/>
      <c r="K126" s="45"/>
      <c r="L126" s="45"/>
      <c r="M126" s="45"/>
      <c r="N126" s="60">
        <v>-81561.076052741832</v>
      </c>
      <c r="O126" s="60">
        <v>407389.83347936609</v>
      </c>
      <c r="P126" s="45">
        <f t="shared" si="36"/>
        <v>325828.75742662424</v>
      </c>
    </row>
    <row r="127" spans="1:16" x14ac:dyDescent="0.2">
      <c r="A127" s="40"/>
      <c r="B127" s="41"/>
      <c r="C127" s="41"/>
      <c r="D127" s="40"/>
      <c r="E127" s="45"/>
      <c r="H127" s="45"/>
      <c r="I127" s="45"/>
      <c r="J127" s="45"/>
      <c r="K127" s="45"/>
      <c r="L127" s="45"/>
      <c r="M127" s="45">
        <f t="shared" si="46"/>
        <v>0</v>
      </c>
      <c r="P127" s="45">
        <f t="shared" si="36"/>
        <v>0</v>
      </c>
    </row>
    <row r="128" spans="1:16" x14ac:dyDescent="0.2">
      <c r="A128" s="16" t="s">
        <v>12</v>
      </c>
      <c r="B128" s="37">
        <v>60</v>
      </c>
      <c r="C128" s="38">
        <v>610</v>
      </c>
      <c r="D128" s="40"/>
      <c r="E128" s="46">
        <v>2561.9525616312299</v>
      </c>
      <c r="F128" s="46"/>
      <c r="G128" s="46"/>
      <c r="H128" s="46">
        <f t="shared" si="32"/>
        <v>2561.9525616312299</v>
      </c>
      <c r="I128" s="46"/>
      <c r="J128" s="46"/>
      <c r="K128" s="46"/>
      <c r="L128" s="46"/>
      <c r="M128" s="46">
        <f t="shared" si="46"/>
        <v>2561.9525616312299</v>
      </c>
      <c r="P128" s="46">
        <f t="shared" si="36"/>
        <v>2561.9525616312299</v>
      </c>
    </row>
    <row r="129" spans="1:16" x14ac:dyDescent="0.2">
      <c r="A129" s="16"/>
      <c r="B129" s="37"/>
      <c r="C129" s="38"/>
      <c r="D129" s="40"/>
      <c r="E129" s="46"/>
      <c r="H129" s="45"/>
      <c r="I129" s="45"/>
      <c r="J129" s="45"/>
      <c r="K129" s="45"/>
      <c r="L129" s="45"/>
      <c r="M129" s="45">
        <f t="shared" si="46"/>
        <v>0</v>
      </c>
      <c r="P129" s="45">
        <f t="shared" si="36"/>
        <v>0</v>
      </c>
    </row>
    <row r="130" spans="1:16" ht="15.75" x14ac:dyDescent="0.25">
      <c r="A130" s="9" t="s">
        <v>22</v>
      </c>
      <c r="B130" s="37"/>
      <c r="C130" s="42"/>
      <c r="D130" s="40"/>
      <c r="E130" s="43">
        <f>E131+E135+E140+E148</f>
        <v>8429589.2067493852</v>
      </c>
      <c r="F130" s="43">
        <f>F131+F135+F140+F148</f>
        <v>-11863.937183085043</v>
      </c>
      <c r="G130" s="43">
        <f>G131+G135+G140+G148</f>
        <v>1094208.8204151299</v>
      </c>
      <c r="H130" s="43">
        <f t="shared" si="32"/>
        <v>9511934.0899814293</v>
      </c>
      <c r="I130" s="43">
        <f>I131+I135+I140+I148</f>
        <v>-73945.390070903988</v>
      </c>
      <c r="J130" s="43">
        <f>J131+J135+J140+J148</f>
        <v>27472.529621516049</v>
      </c>
      <c r="K130" s="43">
        <f>K131+K135+K140+K148</f>
        <v>696000</v>
      </c>
      <c r="L130" s="43">
        <f>L131+L135+L140+L148</f>
        <v>0</v>
      </c>
      <c r="M130" s="43">
        <f t="shared" si="46"/>
        <v>10161461.229532041</v>
      </c>
      <c r="N130" s="43">
        <f>N131+N135+N140+N148</f>
        <v>-946811.87413906446</v>
      </c>
      <c r="O130" s="43">
        <f>O131+O135+O140+O148</f>
        <v>583853.86699082702</v>
      </c>
      <c r="P130" s="43">
        <f t="shared" si="36"/>
        <v>9798503.2223838028</v>
      </c>
    </row>
    <row r="131" spans="1:16" x14ac:dyDescent="0.2">
      <c r="A131" s="16" t="s">
        <v>6</v>
      </c>
      <c r="B131" s="37"/>
      <c r="C131" s="38"/>
      <c r="D131" s="38"/>
      <c r="E131" s="44">
        <f>E132+E133</f>
        <v>4813749.1657320168</v>
      </c>
      <c r="F131" s="44">
        <f t="shared" ref="F131:L131" si="51">F132+F133</f>
        <v>0</v>
      </c>
      <c r="G131" s="44">
        <f t="shared" si="51"/>
        <v>0</v>
      </c>
      <c r="H131" s="44">
        <f t="shared" si="32"/>
        <v>4813749.1657320168</v>
      </c>
      <c r="I131" s="44">
        <f t="shared" si="51"/>
        <v>0</v>
      </c>
      <c r="J131" s="44">
        <f t="shared" si="51"/>
        <v>0</v>
      </c>
      <c r="K131" s="44">
        <f t="shared" si="51"/>
        <v>0</v>
      </c>
      <c r="L131" s="44">
        <f t="shared" si="51"/>
        <v>0</v>
      </c>
      <c r="M131" s="44">
        <f t="shared" si="46"/>
        <v>4813749.1657320168</v>
      </c>
      <c r="N131" s="44">
        <f>N132+N133</f>
        <v>-43350.000010000003</v>
      </c>
      <c r="O131" s="44">
        <f>O132+O133</f>
        <v>0</v>
      </c>
      <c r="P131" s="44">
        <f t="shared" si="36"/>
        <v>4770399.1657220172</v>
      </c>
    </row>
    <row r="132" spans="1:16" x14ac:dyDescent="0.2">
      <c r="A132" s="53" t="s">
        <v>31</v>
      </c>
      <c r="B132" s="39">
        <v>20</v>
      </c>
      <c r="C132" s="39">
        <v>45</v>
      </c>
      <c r="D132" s="15"/>
      <c r="E132" s="45">
        <f>588748.165732017+1</f>
        <v>588749.16573201702</v>
      </c>
      <c r="H132" s="45">
        <f t="shared" si="32"/>
        <v>588749.16573201702</v>
      </c>
      <c r="I132" s="45"/>
      <c r="J132" s="45"/>
      <c r="K132" s="45"/>
      <c r="L132" s="45"/>
      <c r="M132" s="45">
        <f t="shared" si="46"/>
        <v>588749.16573201702</v>
      </c>
      <c r="P132" s="45">
        <f t="shared" si="36"/>
        <v>588749.16573201702</v>
      </c>
    </row>
    <row r="133" spans="1:16" x14ac:dyDescent="0.2">
      <c r="A133" s="53" t="s">
        <v>32</v>
      </c>
      <c r="B133" s="39">
        <v>20</v>
      </c>
      <c r="C133" s="39">
        <v>45</v>
      </c>
      <c r="D133" s="15" t="s">
        <v>33</v>
      </c>
      <c r="E133" s="45">
        <v>4225000</v>
      </c>
      <c r="H133" s="45">
        <f t="shared" si="32"/>
        <v>4225000</v>
      </c>
      <c r="I133" s="45"/>
      <c r="J133" s="45"/>
      <c r="K133" s="45"/>
      <c r="L133" s="45"/>
      <c r="M133" s="45">
        <f t="shared" si="46"/>
        <v>4225000</v>
      </c>
      <c r="N133" s="111">
        <v>-43350.000010000003</v>
      </c>
      <c r="P133" s="45">
        <f t="shared" si="36"/>
        <v>4181649.9999899999</v>
      </c>
    </row>
    <row r="134" spans="1:16" ht="15.75" x14ac:dyDescent="0.25">
      <c r="A134" s="9"/>
      <c r="B134" s="37"/>
      <c r="C134" s="42"/>
      <c r="D134" s="40"/>
      <c r="E134" s="43"/>
      <c r="H134" s="45"/>
      <c r="I134" s="45"/>
      <c r="J134" s="45"/>
      <c r="K134" s="45"/>
      <c r="L134" s="45"/>
      <c r="M134" s="45">
        <f t="shared" si="46"/>
        <v>0</v>
      </c>
      <c r="P134" s="45">
        <f t="shared" si="36"/>
        <v>0</v>
      </c>
    </row>
    <row r="135" spans="1:16" x14ac:dyDescent="0.2">
      <c r="A135" s="16" t="s">
        <v>4</v>
      </c>
      <c r="B135" s="37"/>
      <c r="C135" s="38"/>
      <c r="D135" s="38"/>
      <c r="E135" s="44">
        <f>E136</f>
        <v>1631109.53166888</v>
      </c>
      <c r="F135" s="44">
        <f t="shared" ref="F135:G135" si="52">F136</f>
        <v>27408</v>
      </c>
      <c r="G135" s="44">
        <f t="shared" si="52"/>
        <v>0</v>
      </c>
      <c r="H135" s="44">
        <f t="shared" si="32"/>
        <v>1658517.53166888</v>
      </c>
      <c r="I135" s="44">
        <f>I136+I137</f>
        <v>-73945.390070903988</v>
      </c>
      <c r="J135" s="44">
        <f t="shared" ref="J135:L135" si="53">J136+J137</f>
        <v>0</v>
      </c>
      <c r="K135" s="44">
        <f t="shared" si="53"/>
        <v>676000</v>
      </c>
      <c r="L135" s="44">
        <f t="shared" si="53"/>
        <v>0</v>
      </c>
      <c r="M135" s="44">
        <f t="shared" si="46"/>
        <v>2260572.141597976</v>
      </c>
      <c r="N135" s="44">
        <f>N136+N137+N138</f>
        <v>-641060.43398139486</v>
      </c>
      <c r="O135" s="44">
        <f>O136+O137+O138</f>
        <v>0</v>
      </c>
      <c r="P135" s="44">
        <f t="shared" si="36"/>
        <v>1619511.7076165811</v>
      </c>
    </row>
    <row r="136" spans="1:16" x14ac:dyDescent="0.2">
      <c r="A136" s="17" t="s">
        <v>5</v>
      </c>
      <c r="B136" s="39">
        <v>20</v>
      </c>
      <c r="C136" s="39">
        <v>50</v>
      </c>
      <c r="D136" s="15"/>
      <c r="E136" s="45">
        <f>1630741.53166888+368</f>
        <v>1631109.53166888</v>
      </c>
      <c r="F136" s="45">
        <v>27408</v>
      </c>
      <c r="H136" s="45">
        <f t="shared" si="32"/>
        <v>1658517.53166888</v>
      </c>
      <c r="I136" s="45">
        <v>-73945.390070903988</v>
      </c>
      <c r="J136" s="45"/>
      <c r="K136" s="45"/>
      <c r="L136" s="45"/>
      <c r="M136" s="45">
        <f t="shared" si="46"/>
        <v>1584572.141597976</v>
      </c>
      <c r="N136" s="111">
        <v>8242.6565099312993</v>
      </c>
      <c r="P136" s="45">
        <f t="shared" si="36"/>
        <v>1592814.7981079072</v>
      </c>
    </row>
    <row r="137" spans="1:16" x14ac:dyDescent="0.2">
      <c r="A137" s="17" t="s">
        <v>70</v>
      </c>
      <c r="B137" s="39">
        <v>20</v>
      </c>
      <c r="C137" s="39">
        <v>50</v>
      </c>
      <c r="D137" s="15" t="s">
        <v>66</v>
      </c>
      <c r="E137" s="45"/>
      <c r="F137" s="45"/>
      <c r="H137" s="45"/>
      <c r="I137" s="45"/>
      <c r="J137" s="45"/>
      <c r="K137" s="45">
        <v>676000</v>
      </c>
      <c r="L137" s="45"/>
      <c r="M137" s="45">
        <f t="shared" si="46"/>
        <v>676000</v>
      </c>
      <c r="N137" s="45">
        <v>-676000.00000999996</v>
      </c>
      <c r="P137" s="45">
        <f t="shared" si="36"/>
        <v>-9.9999597296118736E-6</v>
      </c>
    </row>
    <row r="138" spans="1:16" x14ac:dyDescent="0.2">
      <c r="A138" s="17" t="s">
        <v>83</v>
      </c>
      <c r="B138" s="110">
        <v>10</v>
      </c>
      <c r="C138" s="110">
        <v>50</v>
      </c>
      <c r="D138" s="15" t="s">
        <v>36</v>
      </c>
      <c r="E138" s="45"/>
      <c r="F138" s="45"/>
      <c r="H138" s="45"/>
      <c r="I138" s="45"/>
      <c r="J138" s="45"/>
      <c r="K138" s="45"/>
      <c r="L138" s="45"/>
      <c r="M138" s="45"/>
      <c r="N138" s="111">
        <v>26696.909518673801</v>
      </c>
      <c r="P138" s="45">
        <f t="shared" si="36"/>
        <v>26696.909518673801</v>
      </c>
    </row>
    <row r="139" spans="1:16" x14ac:dyDescent="0.2">
      <c r="A139" s="17"/>
      <c r="B139" s="39"/>
      <c r="C139" s="39"/>
      <c r="D139" s="15"/>
      <c r="E139" s="45"/>
      <c r="H139" s="45"/>
      <c r="I139" s="45"/>
      <c r="J139" s="45"/>
      <c r="K139" s="45"/>
      <c r="L139" s="45"/>
      <c r="M139" s="45">
        <f t="shared" si="46"/>
        <v>0</v>
      </c>
      <c r="P139" s="45">
        <f t="shared" si="36"/>
        <v>0</v>
      </c>
    </row>
    <row r="140" spans="1:16" x14ac:dyDescent="0.2">
      <c r="A140" s="16" t="s">
        <v>34</v>
      </c>
      <c r="B140" s="37"/>
      <c r="C140" s="38"/>
      <c r="D140" s="38"/>
      <c r="E140" s="44">
        <f>E141+E142+E143</f>
        <v>1984565.5093484889</v>
      </c>
      <c r="F140" s="44">
        <f t="shared" ref="F140" si="54">F141+F142+F143</f>
        <v>-39271.937183085043</v>
      </c>
      <c r="G140" s="44">
        <f>G141+G142+G143</f>
        <v>1094208.8204151299</v>
      </c>
      <c r="H140" s="44">
        <f t="shared" si="32"/>
        <v>3039502.3925805334</v>
      </c>
      <c r="I140" s="44">
        <f>I141+I142+I143+I144</f>
        <v>0</v>
      </c>
      <c r="J140" s="44">
        <f>J141+J142+J143+J144</f>
        <v>27472.529621516049</v>
      </c>
      <c r="K140" s="44">
        <f t="shared" ref="K140:L140" si="55">K141+K142+K143+K144</f>
        <v>20000</v>
      </c>
      <c r="L140" s="44">
        <f t="shared" si="55"/>
        <v>0</v>
      </c>
      <c r="M140" s="44">
        <f t="shared" si="46"/>
        <v>3086974.9222020493</v>
      </c>
      <c r="N140" s="44">
        <f>N141+N142+N143+N144+N145+N146</f>
        <v>-262401.44014766964</v>
      </c>
      <c r="O140" s="44">
        <f>O141+O142+O143+O144+O145+O146</f>
        <v>583853.86699082702</v>
      </c>
      <c r="P140" s="44">
        <f t="shared" si="36"/>
        <v>3408427.3490452068</v>
      </c>
    </row>
    <row r="141" spans="1:16" x14ac:dyDescent="0.2">
      <c r="A141" s="84" t="s">
        <v>8</v>
      </c>
      <c r="B141" s="39">
        <v>20</v>
      </c>
      <c r="C141" s="39">
        <v>55</v>
      </c>
      <c r="D141" s="15"/>
      <c r="E141" s="45">
        <v>1801253.6696910199</v>
      </c>
      <c r="F141" s="45">
        <v>-35494.756191774097</v>
      </c>
      <c r="G141" s="45">
        <v>688668.82041513</v>
      </c>
      <c r="H141" s="45">
        <f t="shared" ref="H141:H157" si="56">E141+F141+G141</f>
        <v>2454427.7339143758</v>
      </c>
      <c r="I141" s="45"/>
      <c r="J141" s="45">
        <v>27472.529621516049</v>
      </c>
      <c r="K141" s="45"/>
      <c r="L141" s="45"/>
      <c r="M141" s="45">
        <f t="shared" si="46"/>
        <v>2481900.2635358917</v>
      </c>
      <c r="N141" s="111">
        <v>-187157.994951614</v>
      </c>
      <c r="P141" s="45">
        <f t="shared" si="36"/>
        <v>2294742.2685842775</v>
      </c>
    </row>
    <row r="142" spans="1:16" x14ac:dyDescent="0.2">
      <c r="A142" s="84" t="s">
        <v>9</v>
      </c>
      <c r="B142" s="39">
        <v>20</v>
      </c>
      <c r="C142" s="39">
        <v>55</v>
      </c>
      <c r="D142" s="15" t="s">
        <v>10</v>
      </c>
      <c r="E142" s="45">
        <v>183311.83965746901</v>
      </c>
      <c r="F142" s="45">
        <v>-3777.18099131095</v>
      </c>
      <c r="H142" s="45">
        <f>E142+F142+G142</f>
        <v>179534.65866615807</v>
      </c>
      <c r="I142" s="45"/>
      <c r="J142" s="45"/>
      <c r="K142" s="45"/>
      <c r="L142" s="45"/>
      <c r="M142" s="45">
        <f t="shared" si="46"/>
        <v>179534.65866615807</v>
      </c>
      <c r="P142" s="45">
        <f t="shared" si="36"/>
        <v>179534.65866615807</v>
      </c>
    </row>
    <row r="143" spans="1:16" x14ac:dyDescent="0.2">
      <c r="A143" s="84" t="s">
        <v>55</v>
      </c>
      <c r="B143" s="39">
        <v>20</v>
      </c>
      <c r="C143" s="39">
        <v>55</v>
      </c>
      <c r="D143" s="15" t="s">
        <v>56</v>
      </c>
      <c r="E143" s="45">
        <v>0</v>
      </c>
      <c r="F143" s="45"/>
      <c r="G143" s="45">
        <v>405540</v>
      </c>
      <c r="H143" s="45">
        <f>E143+F143+G143</f>
        <v>405540</v>
      </c>
      <c r="I143" s="45"/>
      <c r="J143" s="45"/>
      <c r="K143" s="45"/>
      <c r="L143" s="45"/>
      <c r="M143" s="45">
        <f t="shared" si="46"/>
        <v>405540</v>
      </c>
      <c r="P143" s="45">
        <f t="shared" si="36"/>
        <v>405540</v>
      </c>
    </row>
    <row r="144" spans="1:16" x14ac:dyDescent="0.2">
      <c r="A144" s="84" t="s">
        <v>8</v>
      </c>
      <c r="B144" s="39">
        <v>20</v>
      </c>
      <c r="C144" s="39">
        <v>55</v>
      </c>
      <c r="D144" s="15" t="s">
        <v>66</v>
      </c>
      <c r="E144" s="45"/>
      <c r="F144" s="45"/>
      <c r="G144" s="45"/>
      <c r="H144" s="45"/>
      <c r="I144" s="45"/>
      <c r="J144" s="45"/>
      <c r="K144" s="45">
        <v>20000</v>
      </c>
      <c r="L144" s="45"/>
      <c r="M144" s="45">
        <f t="shared" si="46"/>
        <v>20000</v>
      </c>
      <c r="P144" s="45">
        <f t="shared" si="36"/>
        <v>20000</v>
      </c>
    </row>
    <row r="145" spans="1:16" x14ac:dyDescent="0.2">
      <c r="A145" s="84" t="s">
        <v>84</v>
      </c>
      <c r="B145" s="15">
        <v>20</v>
      </c>
      <c r="C145" s="15">
        <v>55</v>
      </c>
      <c r="D145" s="15" t="s">
        <v>85</v>
      </c>
      <c r="E145" s="45"/>
      <c r="F145" s="45"/>
      <c r="G145" s="45"/>
      <c r="H145" s="45"/>
      <c r="I145" s="45"/>
      <c r="J145" s="45"/>
      <c r="K145" s="45"/>
      <c r="L145" s="45"/>
      <c r="M145" s="45"/>
      <c r="N145" s="111">
        <v>-75243.445196055603</v>
      </c>
      <c r="O145" s="111">
        <v>375833.86699082702</v>
      </c>
      <c r="P145" s="45">
        <f t="shared" si="36"/>
        <v>300590.42179477145</v>
      </c>
    </row>
    <row r="146" spans="1:16" x14ac:dyDescent="0.2">
      <c r="A146" s="84" t="s">
        <v>88</v>
      </c>
      <c r="B146" s="15">
        <v>20</v>
      </c>
      <c r="C146" s="15">
        <v>55</v>
      </c>
      <c r="D146" s="15" t="s">
        <v>89</v>
      </c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111">
        <v>208020</v>
      </c>
      <c r="P146" s="45">
        <f t="shared" si="36"/>
        <v>208020</v>
      </c>
    </row>
    <row r="147" spans="1:16" x14ac:dyDescent="0.2">
      <c r="A147" s="40"/>
      <c r="B147" s="41"/>
      <c r="C147" s="41"/>
      <c r="D147" s="40"/>
      <c r="E147" s="45"/>
      <c r="H147" s="45"/>
      <c r="I147" s="45"/>
      <c r="J147" s="45"/>
      <c r="K147" s="45"/>
      <c r="L147" s="45"/>
      <c r="M147" s="45">
        <f t="shared" si="46"/>
        <v>0</v>
      </c>
      <c r="P147" s="45">
        <f t="shared" si="36"/>
        <v>0</v>
      </c>
    </row>
    <row r="148" spans="1:16" x14ac:dyDescent="0.2">
      <c r="A148" s="16" t="s">
        <v>12</v>
      </c>
      <c r="B148" s="37">
        <v>60</v>
      </c>
      <c r="C148" s="38">
        <v>610</v>
      </c>
      <c r="D148" s="40"/>
      <c r="E148" s="44">
        <v>165</v>
      </c>
      <c r="F148" s="44"/>
      <c r="G148" s="44"/>
      <c r="H148" s="44">
        <f t="shared" si="56"/>
        <v>165</v>
      </c>
      <c r="I148" s="44"/>
      <c r="J148" s="44"/>
      <c r="K148" s="44"/>
      <c r="L148" s="44"/>
      <c r="M148" s="44">
        <f t="shared" si="46"/>
        <v>165</v>
      </c>
      <c r="P148" s="44">
        <f t="shared" si="36"/>
        <v>165</v>
      </c>
    </row>
    <row r="149" spans="1:16" x14ac:dyDescent="0.2">
      <c r="A149" s="16"/>
      <c r="B149" s="37"/>
      <c r="C149" s="38"/>
      <c r="D149" s="40"/>
      <c r="E149" s="46"/>
      <c r="H149" s="45"/>
      <c r="I149" s="45"/>
      <c r="J149" s="45"/>
      <c r="K149" s="45"/>
      <c r="L149" s="45"/>
      <c r="M149" s="45">
        <f t="shared" si="46"/>
        <v>0</v>
      </c>
      <c r="P149" s="45">
        <f t="shared" si="36"/>
        <v>0</v>
      </c>
    </row>
    <row r="150" spans="1:16" ht="15.75" x14ac:dyDescent="0.25">
      <c r="A150" s="9" t="s">
        <v>11</v>
      </c>
      <c r="B150" s="55"/>
      <c r="C150" s="56"/>
      <c r="D150" s="57"/>
      <c r="E150" s="43">
        <f>E151+E152+E153+E154+E156+E157</f>
        <v>1353277</v>
      </c>
      <c r="F150" s="43">
        <f t="shared" ref="F150:G150" si="57">F151+F152+F153+F154+F156+F157</f>
        <v>0</v>
      </c>
      <c r="G150" s="43">
        <f t="shared" si="57"/>
        <v>0</v>
      </c>
      <c r="H150" s="43">
        <f t="shared" si="56"/>
        <v>1353277</v>
      </c>
      <c r="I150" s="43">
        <f>I151+I152+I153+I154+I156+I157+I158+I155+I164</f>
        <v>0</v>
      </c>
      <c r="J150" s="43">
        <f>J151+J152+J153+J154+J156+J157+J158+J155+J164</f>
        <v>0</v>
      </c>
      <c r="K150" s="43">
        <f>K151+K152+K153+K154+K156+K157+K158+K155+K164</f>
        <v>953299</v>
      </c>
      <c r="L150" s="43">
        <f>L151+L152+L153+L154+L156+L157+L158+L155+L164</f>
        <v>0</v>
      </c>
      <c r="M150" s="43">
        <f>H150+I150+J150+K150+L150</f>
        <v>2306576</v>
      </c>
      <c r="P150" s="43">
        <f t="shared" si="36"/>
        <v>2306576</v>
      </c>
    </row>
    <row r="151" spans="1:16" x14ac:dyDescent="0.2">
      <c r="A151" s="58" t="s">
        <v>11</v>
      </c>
      <c r="B151" s="37">
        <v>10</v>
      </c>
      <c r="C151" s="32">
        <v>601</v>
      </c>
      <c r="D151" s="56"/>
      <c r="E151" s="59">
        <v>753660</v>
      </c>
      <c r="H151" s="45">
        <f t="shared" si="56"/>
        <v>753660</v>
      </c>
      <c r="I151" s="45"/>
      <c r="J151" s="45"/>
      <c r="K151" s="45"/>
      <c r="L151" s="45"/>
      <c r="M151" s="45">
        <f t="shared" si="46"/>
        <v>753660</v>
      </c>
      <c r="P151" s="45">
        <f t="shared" si="36"/>
        <v>753660</v>
      </c>
    </row>
    <row r="152" spans="1:16" x14ac:dyDescent="0.2">
      <c r="A152" s="13" t="s">
        <v>35</v>
      </c>
      <c r="B152" s="39">
        <v>10</v>
      </c>
      <c r="C152" s="32">
        <v>601</v>
      </c>
      <c r="D152" s="15" t="s">
        <v>10</v>
      </c>
      <c r="E152" s="60">
        <v>174712</v>
      </c>
      <c r="H152" s="45">
        <f t="shared" si="56"/>
        <v>174712</v>
      </c>
      <c r="I152" s="45"/>
      <c r="J152" s="45"/>
      <c r="K152" s="45"/>
      <c r="L152" s="45"/>
      <c r="M152" s="45">
        <f t="shared" si="46"/>
        <v>174712</v>
      </c>
      <c r="P152" s="45">
        <f t="shared" si="36"/>
        <v>174712</v>
      </c>
    </row>
    <row r="153" spans="1:16" x14ac:dyDescent="0.2">
      <c r="A153" s="54" t="s">
        <v>51</v>
      </c>
      <c r="B153" s="37">
        <v>40</v>
      </c>
      <c r="C153" s="32">
        <v>601</v>
      </c>
      <c r="D153" s="38"/>
      <c r="E153" s="59">
        <v>142426</v>
      </c>
      <c r="H153" s="45">
        <f t="shared" si="56"/>
        <v>142426</v>
      </c>
      <c r="I153" s="45"/>
      <c r="J153" s="45"/>
      <c r="K153" s="45"/>
      <c r="L153" s="45"/>
      <c r="M153" s="45">
        <f t="shared" si="46"/>
        <v>142426</v>
      </c>
      <c r="P153" s="45">
        <f t="shared" ref="P153:P164" si="58">M153+N153+O153</f>
        <v>142426</v>
      </c>
    </row>
    <row r="154" spans="1:16" s="61" customFormat="1" x14ac:dyDescent="0.2">
      <c r="A154" s="61" t="s">
        <v>42</v>
      </c>
      <c r="B154" s="62">
        <v>10</v>
      </c>
      <c r="C154" s="62">
        <v>601</v>
      </c>
      <c r="D154" s="63"/>
      <c r="E154" s="64">
        <v>32397</v>
      </c>
      <c r="H154" s="45">
        <f t="shared" si="56"/>
        <v>32397</v>
      </c>
      <c r="I154" s="45"/>
      <c r="J154" s="45"/>
      <c r="K154" s="45"/>
      <c r="L154" s="45"/>
      <c r="M154" s="45">
        <f t="shared" si="46"/>
        <v>32397</v>
      </c>
      <c r="P154" s="45">
        <f t="shared" si="58"/>
        <v>32397</v>
      </c>
    </row>
    <row r="155" spans="1:16" s="79" customFormat="1" x14ac:dyDescent="0.2">
      <c r="A155" s="100" t="s">
        <v>69</v>
      </c>
      <c r="B155" s="71">
        <v>10</v>
      </c>
      <c r="C155" s="71">
        <v>601</v>
      </c>
      <c r="D155" s="32" t="s">
        <v>66</v>
      </c>
      <c r="E155" s="100"/>
      <c r="F155" s="83"/>
      <c r="G155" s="83"/>
      <c r="H155" s="83"/>
      <c r="I155" s="83"/>
      <c r="J155" s="83"/>
      <c r="K155" s="78">
        <v>22167</v>
      </c>
      <c r="L155" s="83"/>
      <c r="M155" s="45">
        <f>H155+I155+J155+K155+L155</f>
        <v>22167</v>
      </c>
      <c r="P155" s="45">
        <f t="shared" si="58"/>
        <v>22167</v>
      </c>
    </row>
    <row r="156" spans="1:16" s="79" customFormat="1" x14ac:dyDescent="0.2">
      <c r="A156" s="79" t="s">
        <v>46</v>
      </c>
      <c r="B156" s="71">
        <v>10</v>
      </c>
      <c r="C156" s="71">
        <v>601</v>
      </c>
      <c r="D156" s="63"/>
      <c r="E156" s="99">
        <v>241372</v>
      </c>
      <c r="H156" s="45">
        <f t="shared" si="56"/>
        <v>241372</v>
      </c>
      <c r="I156" s="45"/>
      <c r="J156" s="45"/>
      <c r="K156" s="45"/>
      <c r="L156" s="45"/>
      <c r="M156" s="45">
        <f t="shared" si="46"/>
        <v>241372</v>
      </c>
      <c r="P156" s="45">
        <f t="shared" si="58"/>
        <v>241372</v>
      </c>
    </row>
    <row r="157" spans="1:16" s="79" customFormat="1" x14ac:dyDescent="0.2">
      <c r="A157" s="79" t="s">
        <v>47</v>
      </c>
      <c r="B157" s="71">
        <v>10</v>
      </c>
      <c r="C157" s="71">
        <v>601</v>
      </c>
      <c r="D157" s="63"/>
      <c r="E157" s="78">
        <v>8710</v>
      </c>
      <c r="H157" s="45">
        <f t="shared" si="56"/>
        <v>8710</v>
      </c>
      <c r="I157" s="45"/>
      <c r="J157" s="45"/>
      <c r="K157" s="45"/>
      <c r="L157" s="45"/>
      <c r="M157" s="45">
        <f t="shared" si="46"/>
        <v>8710</v>
      </c>
      <c r="P157" s="45">
        <f t="shared" si="58"/>
        <v>8710</v>
      </c>
    </row>
    <row r="158" spans="1:16" s="79" customFormat="1" x14ac:dyDescent="0.2">
      <c r="A158" s="79" t="s">
        <v>81</v>
      </c>
      <c r="B158" s="71"/>
      <c r="C158" s="71"/>
      <c r="D158" s="63"/>
      <c r="E158" s="102"/>
      <c r="F158" s="101"/>
      <c r="G158" s="101"/>
      <c r="H158" s="46"/>
      <c r="I158" s="46"/>
      <c r="J158" s="46"/>
      <c r="K158" s="78">
        <f>K159+K160+K161+K162+K163</f>
        <v>789032</v>
      </c>
      <c r="L158" s="46"/>
      <c r="M158" s="45">
        <f t="shared" si="46"/>
        <v>789032</v>
      </c>
      <c r="P158" s="45">
        <f t="shared" si="58"/>
        <v>789032</v>
      </c>
    </row>
    <row r="159" spans="1:16" s="79" customFormat="1" x14ac:dyDescent="0.2">
      <c r="A159" s="92" t="s">
        <v>72</v>
      </c>
      <c r="B159" s="93">
        <v>10</v>
      </c>
      <c r="C159" s="93">
        <v>601001</v>
      </c>
      <c r="D159" s="93" t="s">
        <v>66</v>
      </c>
      <c r="E159" s="94">
        <v>0</v>
      </c>
      <c r="F159" s="95"/>
      <c r="G159" s="95"/>
      <c r="H159" s="94"/>
      <c r="I159" s="94"/>
      <c r="J159" s="94"/>
      <c r="K159" s="94">
        <v>409032</v>
      </c>
      <c r="L159" s="94"/>
      <c r="M159" s="94">
        <f t="shared" ref="M159:M164" si="59">H159+I159+J159+K159+L159</f>
        <v>409032</v>
      </c>
      <c r="P159" s="94">
        <f t="shared" si="58"/>
        <v>409032</v>
      </c>
    </row>
    <row r="160" spans="1:16" s="83" customFormat="1" x14ac:dyDescent="0.2">
      <c r="A160" s="92" t="s">
        <v>72</v>
      </c>
      <c r="B160" s="93">
        <v>10</v>
      </c>
      <c r="C160" s="93">
        <v>601002</v>
      </c>
      <c r="D160" s="93" t="s">
        <v>77</v>
      </c>
      <c r="E160" s="94">
        <v>0</v>
      </c>
      <c r="F160" s="95"/>
      <c r="G160" s="95"/>
      <c r="H160" s="94"/>
      <c r="I160" s="94"/>
      <c r="J160" s="94"/>
      <c r="K160" s="94">
        <v>24000</v>
      </c>
      <c r="L160" s="94"/>
      <c r="M160" s="94">
        <f t="shared" si="59"/>
        <v>24000</v>
      </c>
      <c r="P160" s="94">
        <f t="shared" si="58"/>
        <v>24000</v>
      </c>
    </row>
    <row r="161" spans="1:16" s="95" customFormat="1" x14ac:dyDescent="0.2">
      <c r="A161" s="92" t="s">
        <v>72</v>
      </c>
      <c r="B161" s="93">
        <v>10</v>
      </c>
      <c r="C161" s="93">
        <v>601002</v>
      </c>
      <c r="D161" s="93" t="s">
        <v>78</v>
      </c>
      <c r="E161" s="94">
        <v>0</v>
      </c>
      <c r="H161" s="94"/>
      <c r="I161" s="94">
        <v>0</v>
      </c>
      <c r="J161" s="94"/>
      <c r="K161" s="94">
        <v>209000</v>
      </c>
      <c r="L161" s="94"/>
      <c r="M161" s="94">
        <f t="shared" si="59"/>
        <v>209000</v>
      </c>
      <c r="P161" s="94">
        <f t="shared" si="58"/>
        <v>209000</v>
      </c>
    </row>
    <row r="162" spans="1:16" s="95" customFormat="1" x14ac:dyDescent="0.2">
      <c r="A162" s="92" t="s">
        <v>72</v>
      </c>
      <c r="B162" s="93">
        <v>10</v>
      </c>
      <c r="C162" s="93">
        <v>601002</v>
      </c>
      <c r="D162" s="93" t="s">
        <v>79</v>
      </c>
      <c r="E162" s="94">
        <v>0</v>
      </c>
      <c r="H162" s="94"/>
      <c r="I162" s="94">
        <v>0</v>
      </c>
      <c r="J162" s="94"/>
      <c r="K162" s="94">
        <v>27000</v>
      </c>
      <c r="L162" s="94"/>
      <c r="M162" s="94">
        <f t="shared" si="59"/>
        <v>27000</v>
      </c>
      <c r="P162" s="94">
        <f t="shared" si="58"/>
        <v>27000</v>
      </c>
    </row>
    <row r="163" spans="1:16" s="95" customFormat="1" x14ac:dyDescent="0.2">
      <c r="A163" s="92" t="s">
        <v>72</v>
      </c>
      <c r="B163" s="93">
        <v>10</v>
      </c>
      <c r="C163" s="93">
        <v>601002</v>
      </c>
      <c r="D163" s="93" t="s">
        <v>80</v>
      </c>
      <c r="E163" s="94"/>
      <c r="H163" s="94"/>
      <c r="I163" s="94">
        <v>0</v>
      </c>
      <c r="J163" s="94"/>
      <c r="K163" s="94">
        <v>120000</v>
      </c>
      <c r="L163" s="94"/>
      <c r="M163" s="94">
        <f t="shared" si="59"/>
        <v>120000</v>
      </c>
      <c r="P163" s="94">
        <f t="shared" si="58"/>
        <v>120000</v>
      </c>
    </row>
    <row r="164" spans="1:16" s="83" customFormat="1" x14ac:dyDescent="0.2">
      <c r="A164" s="91" t="s">
        <v>11</v>
      </c>
      <c r="B164" s="86">
        <v>10</v>
      </c>
      <c r="C164" s="32">
        <v>601</v>
      </c>
      <c r="D164" s="15" t="s">
        <v>66</v>
      </c>
      <c r="K164" s="59">
        <v>142100</v>
      </c>
      <c r="M164" s="45">
        <f t="shared" si="59"/>
        <v>142100</v>
      </c>
      <c r="P164" s="45">
        <f t="shared" si="58"/>
        <v>142100</v>
      </c>
    </row>
  </sheetData>
  <autoFilter ref="A5:P164" xr:uid="{22EBA3E8-4371-45DF-A471-01A65C489808}"/>
  <dataConsolidate/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Justiitsministeerium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Helena Rentik</cp:lastModifiedBy>
  <cp:lastPrinted>2022-04-06T13:57:40Z</cp:lastPrinted>
  <dcterms:created xsi:type="dcterms:W3CDTF">2021-12-14T12:38:30Z</dcterms:created>
  <dcterms:modified xsi:type="dcterms:W3CDTF">2022-11-14T14:10:34Z</dcterms:modified>
</cp:coreProperties>
</file>